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kacemi\AppData\Local\Temp\kavdal\"/>
    </mc:Choice>
  </mc:AlternateContent>
  <xr:revisionPtr revIDLastSave="0" documentId="8_{43CA49C1-1C87-41E5-B491-ED70C09E26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envenue" sheetId="1" r:id="rId1"/>
    <sheet name="Tableau de bord" sheetId="2" r:id="rId2"/>
    <sheet name="Données ventes" sheetId="3" r:id="rId3"/>
    <sheet name="Données mensuelles" sheetId="4" r:id="rId4"/>
    <sheet name="Objectifs" sheetId="5" r:id="rId5"/>
    <sheet name="Listes" sheetId="6" r:id="rId6"/>
    <sheet name="Calculs" sheetId="7" r:id="rId7"/>
    <sheet name="Notice" sheetId="8" r:id="rId8"/>
  </sheets>
  <definedNames>
    <definedName name="B_CA">Objectifs!$B$16:$B$27</definedName>
    <definedName name="B_Charges">Objectifs!$C$16:$C$27</definedName>
    <definedName name="C_Idx">Calculs!$B$4</definedName>
    <definedName name="C_Mois">Calculs!$B$5</definedName>
    <definedName name="L_Clients">Listes!$A$5:$A$84</definedName>
    <definedName name="L_Familles">Listes!$C$5:$C$16</definedName>
    <definedName name="M_Charges">'Données mensuelles'!$B$4:$B$39</definedName>
    <definedName name="M_Creances">'Données mensuelles'!$D$4:$D$39</definedName>
    <definedName name="M_Mois">'Données mensuelles'!$A$4:$A$39</definedName>
    <definedName name="M_Treso">'Données mensuelles'!$C$4:$C$39</definedName>
    <definedName name="P_debut">Objectifs!$B$5</definedName>
    <definedName name="P_nom">Objectifs!$B$4</definedName>
    <definedName name="P_obj_dso">Objectifs!$B$11</definedName>
    <definedName name="P_seuil_treso">Objectifs!$B$10</definedName>
    <definedName name="P_taux">Objectifs!$B$6</definedName>
    <definedName name="P_tol_ca">Objectifs!$B$8</definedName>
    <definedName name="P_tol_dso">Objectifs!$B$12</definedName>
    <definedName name="P_tol_marge">Objectifs!$B$9</definedName>
    <definedName name="P_tva">Objectifs!$B$7</definedName>
    <definedName name="V_CA">'Données ventes'!$E$4:$E$5000</definedName>
    <definedName name="V_Client">'Données ventes'!$C$4:$C$5000</definedName>
    <definedName name="V_Cout">'Données ventes'!$F$4:$F$5000</definedName>
    <definedName name="V_Date">'Données ventes'!$A$4:$A$5000</definedName>
    <definedName name="V_Famille">'Données ventes'!$D$4:$D$5000</definedName>
    <definedName name="V_Mois">'Données ventes'!$H$4:$H$5000</definedName>
    <definedName name="_xlnm.Print_Area" localSheetId="0">Bienvenue!$A$1:$N$25</definedName>
    <definedName name="_xlnm.Print_Area" localSheetId="1">'Tableau de bord'!$A$1:$O$62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8" i="7" l="1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66" i="7"/>
  <c r="A65" i="7"/>
  <c r="F64" i="7"/>
  <c r="A64" i="7"/>
  <c r="F63" i="7"/>
  <c r="A63" i="7"/>
  <c r="F62" i="7"/>
  <c r="A62" i="7"/>
  <c r="F61" i="7"/>
  <c r="A61" i="7"/>
  <c r="F60" i="7"/>
  <c r="A60" i="7"/>
  <c r="F59" i="7"/>
  <c r="A59" i="7"/>
  <c r="A58" i="7"/>
  <c r="A57" i="7"/>
  <c r="A56" i="7"/>
  <c r="A55" i="7"/>
  <c r="A54" i="7"/>
  <c r="A53" i="7"/>
  <c r="A52" i="7"/>
  <c r="A51" i="7"/>
  <c r="A50" i="7"/>
  <c r="A49" i="7"/>
  <c r="W21" i="7"/>
  <c r="V21" i="7"/>
  <c r="O21" i="7"/>
  <c r="L21" i="7"/>
  <c r="H21" i="7"/>
  <c r="Q21" i="7" s="1"/>
  <c r="B21" i="7"/>
  <c r="W20" i="7"/>
  <c r="V20" i="7"/>
  <c r="O20" i="7"/>
  <c r="L20" i="7"/>
  <c r="H20" i="7"/>
  <c r="Q20" i="7" s="1"/>
  <c r="B20" i="7"/>
  <c r="W19" i="7"/>
  <c r="V19" i="7"/>
  <c r="O19" i="7"/>
  <c r="L19" i="7"/>
  <c r="H19" i="7"/>
  <c r="Q19" i="7" s="1"/>
  <c r="B19" i="7"/>
  <c r="W18" i="7"/>
  <c r="V18" i="7"/>
  <c r="O18" i="7"/>
  <c r="L18" i="7"/>
  <c r="H18" i="7"/>
  <c r="Q18" i="7" s="1"/>
  <c r="B18" i="7"/>
  <c r="W17" i="7"/>
  <c r="V17" i="7"/>
  <c r="O17" i="7"/>
  <c r="L17" i="7"/>
  <c r="H17" i="7"/>
  <c r="Q17" i="7" s="1"/>
  <c r="B17" i="7"/>
  <c r="W16" i="7"/>
  <c r="V16" i="7"/>
  <c r="O16" i="7"/>
  <c r="L16" i="7"/>
  <c r="H16" i="7"/>
  <c r="Q16" i="7" s="1"/>
  <c r="B16" i="7"/>
  <c r="W15" i="7"/>
  <c r="V15" i="7"/>
  <c r="O15" i="7"/>
  <c r="L15" i="7"/>
  <c r="H15" i="7"/>
  <c r="Q15" i="7" s="1"/>
  <c r="B15" i="7"/>
  <c r="W14" i="7"/>
  <c r="V14" i="7"/>
  <c r="O14" i="7"/>
  <c r="L14" i="7"/>
  <c r="H14" i="7"/>
  <c r="Q14" i="7" s="1"/>
  <c r="B14" i="7"/>
  <c r="W13" i="7"/>
  <c r="V13" i="7"/>
  <c r="O13" i="7"/>
  <c r="L13" i="7"/>
  <c r="H13" i="7"/>
  <c r="Q13" i="7" s="1"/>
  <c r="B13" i="7"/>
  <c r="W12" i="7"/>
  <c r="V12" i="7"/>
  <c r="O12" i="7"/>
  <c r="L12" i="7"/>
  <c r="H12" i="7"/>
  <c r="Q12" i="7" s="1"/>
  <c r="B12" i="7"/>
  <c r="W11" i="7"/>
  <c r="V11" i="7"/>
  <c r="O11" i="7"/>
  <c r="L11" i="7"/>
  <c r="H11" i="7"/>
  <c r="Q11" i="7" s="1"/>
  <c r="B11" i="7"/>
  <c r="W10" i="7"/>
  <c r="V10" i="7"/>
  <c r="O10" i="7"/>
  <c r="L10" i="7"/>
  <c r="H10" i="7"/>
  <c r="Q10" i="7" s="1"/>
  <c r="B10" i="7"/>
  <c r="B6" i="7"/>
  <c r="B3" i="7"/>
  <c r="F6" i="6"/>
  <c r="F5" i="6"/>
  <c r="C28" i="5"/>
  <c r="B28" i="5"/>
  <c r="A27" i="5"/>
  <c r="A26" i="5"/>
  <c r="A25" i="5"/>
  <c r="A24" i="5"/>
  <c r="A23" i="5"/>
  <c r="A22" i="5"/>
  <c r="A21" i="5"/>
  <c r="A20" i="5"/>
  <c r="A19" i="5"/>
  <c r="A18" i="5"/>
  <c r="A17" i="5"/>
  <c r="A16" i="5"/>
  <c r="I936" i="3"/>
  <c r="H936" i="3"/>
  <c r="G936" i="3"/>
  <c r="I935" i="3"/>
  <c r="H935" i="3"/>
  <c r="G935" i="3"/>
  <c r="I934" i="3"/>
  <c r="H934" i="3"/>
  <c r="G934" i="3"/>
  <c r="I933" i="3"/>
  <c r="H933" i="3"/>
  <c r="G933" i="3"/>
  <c r="I932" i="3"/>
  <c r="H932" i="3"/>
  <c r="G932" i="3"/>
  <c r="I931" i="3"/>
  <c r="H931" i="3"/>
  <c r="G931" i="3"/>
  <c r="I930" i="3"/>
  <c r="H930" i="3"/>
  <c r="G930" i="3"/>
  <c r="I929" i="3"/>
  <c r="H929" i="3"/>
  <c r="G929" i="3"/>
  <c r="I928" i="3"/>
  <c r="H928" i="3"/>
  <c r="G928" i="3"/>
  <c r="I927" i="3"/>
  <c r="H927" i="3"/>
  <c r="G927" i="3"/>
  <c r="I926" i="3"/>
  <c r="H926" i="3"/>
  <c r="G926" i="3"/>
  <c r="I925" i="3"/>
  <c r="H925" i="3"/>
  <c r="G925" i="3"/>
  <c r="I924" i="3"/>
  <c r="H924" i="3"/>
  <c r="G924" i="3"/>
  <c r="I923" i="3"/>
  <c r="H923" i="3"/>
  <c r="G923" i="3"/>
  <c r="I922" i="3"/>
  <c r="H922" i="3"/>
  <c r="G922" i="3"/>
  <c r="I921" i="3"/>
  <c r="H921" i="3"/>
  <c r="G921" i="3"/>
  <c r="I920" i="3"/>
  <c r="H920" i="3"/>
  <c r="G920" i="3"/>
  <c r="I919" i="3"/>
  <c r="H919" i="3"/>
  <c r="G919" i="3"/>
  <c r="I918" i="3"/>
  <c r="H918" i="3"/>
  <c r="G918" i="3"/>
  <c r="I917" i="3"/>
  <c r="H917" i="3"/>
  <c r="G917" i="3"/>
  <c r="I916" i="3"/>
  <c r="H916" i="3"/>
  <c r="G916" i="3"/>
  <c r="I915" i="3"/>
  <c r="H915" i="3"/>
  <c r="G915" i="3"/>
  <c r="I914" i="3"/>
  <c r="H914" i="3"/>
  <c r="G914" i="3"/>
  <c r="I913" i="3"/>
  <c r="H913" i="3"/>
  <c r="G913" i="3"/>
  <c r="I912" i="3"/>
  <c r="H912" i="3"/>
  <c r="G912" i="3"/>
  <c r="I911" i="3"/>
  <c r="H911" i="3"/>
  <c r="G911" i="3"/>
  <c r="I910" i="3"/>
  <c r="H910" i="3"/>
  <c r="G910" i="3"/>
  <c r="I909" i="3"/>
  <c r="H909" i="3"/>
  <c r="G909" i="3"/>
  <c r="I908" i="3"/>
  <c r="H908" i="3"/>
  <c r="G908" i="3"/>
  <c r="I907" i="3"/>
  <c r="H907" i="3"/>
  <c r="G907" i="3"/>
  <c r="I906" i="3"/>
  <c r="H906" i="3"/>
  <c r="G906" i="3"/>
  <c r="I905" i="3"/>
  <c r="H905" i="3"/>
  <c r="G905" i="3"/>
  <c r="I904" i="3"/>
  <c r="H904" i="3"/>
  <c r="G904" i="3"/>
  <c r="I903" i="3"/>
  <c r="H903" i="3"/>
  <c r="G903" i="3"/>
  <c r="I902" i="3"/>
  <c r="H902" i="3"/>
  <c r="G902" i="3"/>
  <c r="I901" i="3"/>
  <c r="H901" i="3"/>
  <c r="G901" i="3"/>
  <c r="I900" i="3"/>
  <c r="H900" i="3"/>
  <c r="G900" i="3"/>
  <c r="I899" i="3"/>
  <c r="H899" i="3"/>
  <c r="G899" i="3"/>
  <c r="I898" i="3"/>
  <c r="H898" i="3"/>
  <c r="G898" i="3"/>
  <c r="I897" i="3"/>
  <c r="H897" i="3"/>
  <c r="G897" i="3"/>
  <c r="I896" i="3"/>
  <c r="H896" i="3"/>
  <c r="G896" i="3"/>
  <c r="I895" i="3"/>
  <c r="H895" i="3"/>
  <c r="G895" i="3"/>
  <c r="I894" i="3"/>
  <c r="H894" i="3"/>
  <c r="G894" i="3"/>
  <c r="I893" i="3"/>
  <c r="H893" i="3"/>
  <c r="G893" i="3"/>
  <c r="I892" i="3"/>
  <c r="H892" i="3"/>
  <c r="G892" i="3"/>
  <c r="I891" i="3"/>
  <c r="H891" i="3"/>
  <c r="G891" i="3"/>
  <c r="I890" i="3"/>
  <c r="H890" i="3"/>
  <c r="G890" i="3"/>
  <c r="I889" i="3"/>
  <c r="H889" i="3"/>
  <c r="G889" i="3"/>
  <c r="I888" i="3"/>
  <c r="H888" i="3"/>
  <c r="G888" i="3"/>
  <c r="I887" i="3"/>
  <c r="H887" i="3"/>
  <c r="G887" i="3"/>
  <c r="I886" i="3"/>
  <c r="H886" i="3"/>
  <c r="G886" i="3"/>
  <c r="I885" i="3"/>
  <c r="H885" i="3"/>
  <c r="G885" i="3"/>
  <c r="I884" i="3"/>
  <c r="H884" i="3"/>
  <c r="G884" i="3"/>
  <c r="I883" i="3"/>
  <c r="H883" i="3"/>
  <c r="G883" i="3"/>
  <c r="I882" i="3"/>
  <c r="H882" i="3"/>
  <c r="G882" i="3"/>
  <c r="I881" i="3"/>
  <c r="H881" i="3"/>
  <c r="G881" i="3"/>
  <c r="I880" i="3"/>
  <c r="H880" i="3"/>
  <c r="G880" i="3"/>
  <c r="I879" i="3"/>
  <c r="H879" i="3"/>
  <c r="G879" i="3"/>
  <c r="I878" i="3"/>
  <c r="H878" i="3"/>
  <c r="G878" i="3"/>
  <c r="I877" i="3"/>
  <c r="H877" i="3"/>
  <c r="G877" i="3"/>
  <c r="I876" i="3"/>
  <c r="H876" i="3"/>
  <c r="G876" i="3"/>
  <c r="I875" i="3"/>
  <c r="H875" i="3"/>
  <c r="G875" i="3"/>
  <c r="I874" i="3"/>
  <c r="H874" i="3"/>
  <c r="G874" i="3"/>
  <c r="I873" i="3"/>
  <c r="H873" i="3"/>
  <c r="G873" i="3"/>
  <c r="I872" i="3"/>
  <c r="H872" i="3"/>
  <c r="G872" i="3"/>
  <c r="I871" i="3"/>
  <c r="H871" i="3"/>
  <c r="G871" i="3"/>
  <c r="I870" i="3"/>
  <c r="H870" i="3"/>
  <c r="G870" i="3"/>
  <c r="I869" i="3"/>
  <c r="H869" i="3"/>
  <c r="G869" i="3"/>
  <c r="I868" i="3"/>
  <c r="H868" i="3"/>
  <c r="G868" i="3"/>
  <c r="I867" i="3"/>
  <c r="H867" i="3"/>
  <c r="G867" i="3"/>
  <c r="I866" i="3"/>
  <c r="H866" i="3"/>
  <c r="G866" i="3"/>
  <c r="I865" i="3"/>
  <c r="H865" i="3"/>
  <c r="G865" i="3"/>
  <c r="I864" i="3"/>
  <c r="H864" i="3"/>
  <c r="G864" i="3"/>
  <c r="I863" i="3"/>
  <c r="H863" i="3"/>
  <c r="G863" i="3"/>
  <c r="I862" i="3"/>
  <c r="H862" i="3"/>
  <c r="G862" i="3"/>
  <c r="I861" i="3"/>
  <c r="H861" i="3"/>
  <c r="G861" i="3"/>
  <c r="I860" i="3"/>
  <c r="H860" i="3"/>
  <c r="G860" i="3"/>
  <c r="I859" i="3"/>
  <c r="H859" i="3"/>
  <c r="G859" i="3"/>
  <c r="I858" i="3"/>
  <c r="H858" i="3"/>
  <c r="G858" i="3"/>
  <c r="I857" i="3"/>
  <c r="H857" i="3"/>
  <c r="G857" i="3"/>
  <c r="I856" i="3"/>
  <c r="H856" i="3"/>
  <c r="G856" i="3"/>
  <c r="I855" i="3"/>
  <c r="H855" i="3"/>
  <c r="G855" i="3"/>
  <c r="I854" i="3"/>
  <c r="H854" i="3"/>
  <c r="G854" i="3"/>
  <c r="I853" i="3"/>
  <c r="H853" i="3"/>
  <c r="G853" i="3"/>
  <c r="I852" i="3"/>
  <c r="H852" i="3"/>
  <c r="G852" i="3"/>
  <c r="I851" i="3"/>
  <c r="H851" i="3"/>
  <c r="G851" i="3"/>
  <c r="I850" i="3"/>
  <c r="H850" i="3"/>
  <c r="G850" i="3"/>
  <c r="I849" i="3"/>
  <c r="H849" i="3"/>
  <c r="G849" i="3"/>
  <c r="I848" i="3"/>
  <c r="H848" i="3"/>
  <c r="G848" i="3"/>
  <c r="I847" i="3"/>
  <c r="H847" i="3"/>
  <c r="G847" i="3"/>
  <c r="I846" i="3"/>
  <c r="H846" i="3"/>
  <c r="G846" i="3"/>
  <c r="I845" i="3"/>
  <c r="H845" i="3"/>
  <c r="G845" i="3"/>
  <c r="I844" i="3"/>
  <c r="H844" i="3"/>
  <c r="G844" i="3"/>
  <c r="I843" i="3"/>
  <c r="H843" i="3"/>
  <c r="G843" i="3"/>
  <c r="I842" i="3"/>
  <c r="H842" i="3"/>
  <c r="G842" i="3"/>
  <c r="I841" i="3"/>
  <c r="H841" i="3"/>
  <c r="G841" i="3"/>
  <c r="I840" i="3"/>
  <c r="H840" i="3"/>
  <c r="G840" i="3"/>
  <c r="I839" i="3"/>
  <c r="H839" i="3"/>
  <c r="G839" i="3"/>
  <c r="I838" i="3"/>
  <c r="H838" i="3"/>
  <c r="G838" i="3"/>
  <c r="I837" i="3"/>
  <c r="H837" i="3"/>
  <c r="G837" i="3"/>
  <c r="I836" i="3"/>
  <c r="H836" i="3"/>
  <c r="G836" i="3"/>
  <c r="I835" i="3"/>
  <c r="H835" i="3"/>
  <c r="G835" i="3"/>
  <c r="I834" i="3"/>
  <c r="H834" i="3"/>
  <c r="G834" i="3"/>
  <c r="I833" i="3"/>
  <c r="H833" i="3"/>
  <c r="G833" i="3"/>
  <c r="I832" i="3"/>
  <c r="H832" i="3"/>
  <c r="G832" i="3"/>
  <c r="I831" i="3"/>
  <c r="H831" i="3"/>
  <c r="G831" i="3"/>
  <c r="I830" i="3"/>
  <c r="H830" i="3"/>
  <c r="G830" i="3"/>
  <c r="I829" i="3"/>
  <c r="H829" i="3"/>
  <c r="G829" i="3"/>
  <c r="I828" i="3"/>
  <c r="H828" i="3"/>
  <c r="G828" i="3"/>
  <c r="I827" i="3"/>
  <c r="H827" i="3"/>
  <c r="G827" i="3"/>
  <c r="I826" i="3"/>
  <c r="H826" i="3"/>
  <c r="G826" i="3"/>
  <c r="I825" i="3"/>
  <c r="H825" i="3"/>
  <c r="G825" i="3"/>
  <c r="I824" i="3"/>
  <c r="H824" i="3"/>
  <c r="G824" i="3"/>
  <c r="I823" i="3"/>
  <c r="H823" i="3"/>
  <c r="G823" i="3"/>
  <c r="I822" i="3"/>
  <c r="H822" i="3"/>
  <c r="G822" i="3"/>
  <c r="I821" i="3"/>
  <c r="H821" i="3"/>
  <c r="G821" i="3"/>
  <c r="I820" i="3"/>
  <c r="H820" i="3"/>
  <c r="G820" i="3"/>
  <c r="I819" i="3"/>
  <c r="H819" i="3"/>
  <c r="G819" i="3"/>
  <c r="I818" i="3"/>
  <c r="H818" i="3"/>
  <c r="G818" i="3"/>
  <c r="I817" i="3"/>
  <c r="H817" i="3"/>
  <c r="G817" i="3"/>
  <c r="I816" i="3"/>
  <c r="H816" i="3"/>
  <c r="G816" i="3"/>
  <c r="I815" i="3"/>
  <c r="H815" i="3"/>
  <c r="G815" i="3"/>
  <c r="I814" i="3"/>
  <c r="H814" i="3"/>
  <c r="G814" i="3"/>
  <c r="I813" i="3"/>
  <c r="H813" i="3"/>
  <c r="G813" i="3"/>
  <c r="I812" i="3"/>
  <c r="H812" i="3"/>
  <c r="G812" i="3"/>
  <c r="I811" i="3"/>
  <c r="H811" i="3"/>
  <c r="G811" i="3"/>
  <c r="I810" i="3"/>
  <c r="H810" i="3"/>
  <c r="G810" i="3"/>
  <c r="I809" i="3"/>
  <c r="H809" i="3"/>
  <c r="G809" i="3"/>
  <c r="I808" i="3"/>
  <c r="H808" i="3"/>
  <c r="G808" i="3"/>
  <c r="I807" i="3"/>
  <c r="H807" i="3"/>
  <c r="G807" i="3"/>
  <c r="I806" i="3"/>
  <c r="H806" i="3"/>
  <c r="G806" i="3"/>
  <c r="I805" i="3"/>
  <c r="H805" i="3"/>
  <c r="G805" i="3"/>
  <c r="I804" i="3"/>
  <c r="H804" i="3"/>
  <c r="G804" i="3"/>
  <c r="I803" i="3"/>
  <c r="H803" i="3"/>
  <c r="G803" i="3"/>
  <c r="I802" i="3"/>
  <c r="H802" i="3"/>
  <c r="G802" i="3"/>
  <c r="I801" i="3"/>
  <c r="H801" i="3"/>
  <c r="G801" i="3"/>
  <c r="I800" i="3"/>
  <c r="H800" i="3"/>
  <c r="G800" i="3"/>
  <c r="I799" i="3"/>
  <c r="H799" i="3"/>
  <c r="G799" i="3"/>
  <c r="I798" i="3"/>
  <c r="H798" i="3"/>
  <c r="G798" i="3"/>
  <c r="I797" i="3"/>
  <c r="H797" i="3"/>
  <c r="G797" i="3"/>
  <c r="I796" i="3"/>
  <c r="H796" i="3"/>
  <c r="G796" i="3"/>
  <c r="I795" i="3"/>
  <c r="H795" i="3"/>
  <c r="G795" i="3"/>
  <c r="I794" i="3"/>
  <c r="H794" i="3"/>
  <c r="G794" i="3"/>
  <c r="I793" i="3"/>
  <c r="H793" i="3"/>
  <c r="G793" i="3"/>
  <c r="I792" i="3"/>
  <c r="H792" i="3"/>
  <c r="G792" i="3"/>
  <c r="I791" i="3"/>
  <c r="H791" i="3"/>
  <c r="G791" i="3"/>
  <c r="I790" i="3"/>
  <c r="H790" i="3"/>
  <c r="G790" i="3"/>
  <c r="I789" i="3"/>
  <c r="H789" i="3"/>
  <c r="G789" i="3"/>
  <c r="I788" i="3"/>
  <c r="H788" i="3"/>
  <c r="G788" i="3"/>
  <c r="I787" i="3"/>
  <c r="H787" i="3"/>
  <c r="G787" i="3"/>
  <c r="I786" i="3"/>
  <c r="H786" i="3"/>
  <c r="G786" i="3"/>
  <c r="I785" i="3"/>
  <c r="H785" i="3"/>
  <c r="G785" i="3"/>
  <c r="I784" i="3"/>
  <c r="H784" i="3"/>
  <c r="G784" i="3"/>
  <c r="I783" i="3"/>
  <c r="H783" i="3"/>
  <c r="G783" i="3"/>
  <c r="I782" i="3"/>
  <c r="H782" i="3"/>
  <c r="G782" i="3"/>
  <c r="I781" i="3"/>
  <c r="H781" i="3"/>
  <c r="G781" i="3"/>
  <c r="I780" i="3"/>
  <c r="H780" i="3"/>
  <c r="G780" i="3"/>
  <c r="I779" i="3"/>
  <c r="H779" i="3"/>
  <c r="G779" i="3"/>
  <c r="I778" i="3"/>
  <c r="H778" i="3"/>
  <c r="G778" i="3"/>
  <c r="I777" i="3"/>
  <c r="H777" i="3"/>
  <c r="G777" i="3"/>
  <c r="I776" i="3"/>
  <c r="H776" i="3"/>
  <c r="G776" i="3"/>
  <c r="I775" i="3"/>
  <c r="H775" i="3"/>
  <c r="G775" i="3"/>
  <c r="I774" i="3"/>
  <c r="H774" i="3"/>
  <c r="G774" i="3"/>
  <c r="I773" i="3"/>
  <c r="H773" i="3"/>
  <c r="G773" i="3"/>
  <c r="I772" i="3"/>
  <c r="H772" i="3"/>
  <c r="G772" i="3"/>
  <c r="I771" i="3"/>
  <c r="H771" i="3"/>
  <c r="G771" i="3"/>
  <c r="I770" i="3"/>
  <c r="H770" i="3"/>
  <c r="G770" i="3"/>
  <c r="I769" i="3"/>
  <c r="H769" i="3"/>
  <c r="G769" i="3"/>
  <c r="I768" i="3"/>
  <c r="H768" i="3"/>
  <c r="G768" i="3"/>
  <c r="I767" i="3"/>
  <c r="H767" i="3"/>
  <c r="G767" i="3"/>
  <c r="I766" i="3"/>
  <c r="H766" i="3"/>
  <c r="G766" i="3"/>
  <c r="I765" i="3"/>
  <c r="H765" i="3"/>
  <c r="G765" i="3"/>
  <c r="I764" i="3"/>
  <c r="H764" i="3"/>
  <c r="G764" i="3"/>
  <c r="I763" i="3"/>
  <c r="H763" i="3"/>
  <c r="G763" i="3"/>
  <c r="I762" i="3"/>
  <c r="H762" i="3"/>
  <c r="G762" i="3"/>
  <c r="I761" i="3"/>
  <c r="H761" i="3"/>
  <c r="G761" i="3"/>
  <c r="I760" i="3"/>
  <c r="H760" i="3"/>
  <c r="G760" i="3"/>
  <c r="I759" i="3"/>
  <c r="H759" i="3"/>
  <c r="G759" i="3"/>
  <c r="I758" i="3"/>
  <c r="H758" i="3"/>
  <c r="G758" i="3"/>
  <c r="I757" i="3"/>
  <c r="H757" i="3"/>
  <c r="G757" i="3"/>
  <c r="I756" i="3"/>
  <c r="H756" i="3"/>
  <c r="G756" i="3"/>
  <c r="I755" i="3"/>
  <c r="H755" i="3"/>
  <c r="G755" i="3"/>
  <c r="I754" i="3"/>
  <c r="H754" i="3"/>
  <c r="G754" i="3"/>
  <c r="I753" i="3"/>
  <c r="H753" i="3"/>
  <c r="G753" i="3"/>
  <c r="I752" i="3"/>
  <c r="H752" i="3"/>
  <c r="G752" i="3"/>
  <c r="I751" i="3"/>
  <c r="H751" i="3"/>
  <c r="G751" i="3"/>
  <c r="I750" i="3"/>
  <c r="H750" i="3"/>
  <c r="G750" i="3"/>
  <c r="I749" i="3"/>
  <c r="H749" i="3"/>
  <c r="G749" i="3"/>
  <c r="I748" i="3"/>
  <c r="H748" i="3"/>
  <c r="G748" i="3"/>
  <c r="I747" i="3"/>
  <c r="H747" i="3"/>
  <c r="G747" i="3"/>
  <c r="I746" i="3"/>
  <c r="H746" i="3"/>
  <c r="G746" i="3"/>
  <c r="I745" i="3"/>
  <c r="H745" i="3"/>
  <c r="G745" i="3"/>
  <c r="I744" i="3"/>
  <c r="H744" i="3"/>
  <c r="G744" i="3"/>
  <c r="I743" i="3"/>
  <c r="H743" i="3"/>
  <c r="G743" i="3"/>
  <c r="I742" i="3"/>
  <c r="H742" i="3"/>
  <c r="G742" i="3"/>
  <c r="I741" i="3"/>
  <c r="H741" i="3"/>
  <c r="G741" i="3"/>
  <c r="I740" i="3"/>
  <c r="H740" i="3"/>
  <c r="G740" i="3"/>
  <c r="I739" i="3"/>
  <c r="H739" i="3"/>
  <c r="G739" i="3"/>
  <c r="I738" i="3"/>
  <c r="H738" i="3"/>
  <c r="G738" i="3"/>
  <c r="I737" i="3"/>
  <c r="H737" i="3"/>
  <c r="G737" i="3"/>
  <c r="I736" i="3"/>
  <c r="H736" i="3"/>
  <c r="G736" i="3"/>
  <c r="I735" i="3"/>
  <c r="H735" i="3"/>
  <c r="G735" i="3"/>
  <c r="I734" i="3"/>
  <c r="H734" i="3"/>
  <c r="G734" i="3"/>
  <c r="I733" i="3"/>
  <c r="H733" i="3"/>
  <c r="G733" i="3"/>
  <c r="I732" i="3"/>
  <c r="H732" i="3"/>
  <c r="G732" i="3"/>
  <c r="I731" i="3"/>
  <c r="H731" i="3"/>
  <c r="G731" i="3"/>
  <c r="I730" i="3"/>
  <c r="H730" i="3"/>
  <c r="G730" i="3"/>
  <c r="I729" i="3"/>
  <c r="H729" i="3"/>
  <c r="G729" i="3"/>
  <c r="I728" i="3"/>
  <c r="H728" i="3"/>
  <c r="G728" i="3"/>
  <c r="I727" i="3"/>
  <c r="H727" i="3"/>
  <c r="G727" i="3"/>
  <c r="I726" i="3"/>
  <c r="H726" i="3"/>
  <c r="G726" i="3"/>
  <c r="I725" i="3"/>
  <c r="H725" i="3"/>
  <c r="G725" i="3"/>
  <c r="I724" i="3"/>
  <c r="H724" i="3"/>
  <c r="G724" i="3"/>
  <c r="I723" i="3"/>
  <c r="H723" i="3"/>
  <c r="G723" i="3"/>
  <c r="I722" i="3"/>
  <c r="H722" i="3"/>
  <c r="G722" i="3"/>
  <c r="I721" i="3"/>
  <c r="H721" i="3"/>
  <c r="G721" i="3"/>
  <c r="I720" i="3"/>
  <c r="H720" i="3"/>
  <c r="G720" i="3"/>
  <c r="I719" i="3"/>
  <c r="H719" i="3"/>
  <c r="G719" i="3"/>
  <c r="I718" i="3"/>
  <c r="H718" i="3"/>
  <c r="G718" i="3"/>
  <c r="I717" i="3"/>
  <c r="H717" i="3"/>
  <c r="G717" i="3"/>
  <c r="I716" i="3"/>
  <c r="H716" i="3"/>
  <c r="G716" i="3"/>
  <c r="I715" i="3"/>
  <c r="H715" i="3"/>
  <c r="G715" i="3"/>
  <c r="I714" i="3"/>
  <c r="H714" i="3"/>
  <c r="G714" i="3"/>
  <c r="I713" i="3"/>
  <c r="H713" i="3"/>
  <c r="G713" i="3"/>
  <c r="I712" i="3"/>
  <c r="H712" i="3"/>
  <c r="G712" i="3"/>
  <c r="I711" i="3"/>
  <c r="H711" i="3"/>
  <c r="G711" i="3"/>
  <c r="I710" i="3"/>
  <c r="H710" i="3"/>
  <c r="G710" i="3"/>
  <c r="I709" i="3"/>
  <c r="H709" i="3"/>
  <c r="G709" i="3"/>
  <c r="I708" i="3"/>
  <c r="H708" i="3"/>
  <c r="G708" i="3"/>
  <c r="I707" i="3"/>
  <c r="H707" i="3"/>
  <c r="G707" i="3"/>
  <c r="I706" i="3"/>
  <c r="H706" i="3"/>
  <c r="G706" i="3"/>
  <c r="I705" i="3"/>
  <c r="H705" i="3"/>
  <c r="G705" i="3"/>
  <c r="I704" i="3"/>
  <c r="H704" i="3"/>
  <c r="G704" i="3"/>
  <c r="I703" i="3"/>
  <c r="H703" i="3"/>
  <c r="G703" i="3"/>
  <c r="I702" i="3"/>
  <c r="H702" i="3"/>
  <c r="G702" i="3"/>
  <c r="I701" i="3"/>
  <c r="H701" i="3"/>
  <c r="G701" i="3"/>
  <c r="I700" i="3"/>
  <c r="H700" i="3"/>
  <c r="G700" i="3"/>
  <c r="I699" i="3"/>
  <c r="H699" i="3"/>
  <c r="G699" i="3"/>
  <c r="I698" i="3"/>
  <c r="H698" i="3"/>
  <c r="G698" i="3"/>
  <c r="I697" i="3"/>
  <c r="H697" i="3"/>
  <c r="G697" i="3"/>
  <c r="I696" i="3"/>
  <c r="H696" i="3"/>
  <c r="G696" i="3"/>
  <c r="I695" i="3"/>
  <c r="H695" i="3"/>
  <c r="G695" i="3"/>
  <c r="I694" i="3"/>
  <c r="H694" i="3"/>
  <c r="G694" i="3"/>
  <c r="I693" i="3"/>
  <c r="H693" i="3"/>
  <c r="G693" i="3"/>
  <c r="I692" i="3"/>
  <c r="H692" i="3"/>
  <c r="G692" i="3"/>
  <c r="I691" i="3"/>
  <c r="H691" i="3"/>
  <c r="G691" i="3"/>
  <c r="I690" i="3"/>
  <c r="H690" i="3"/>
  <c r="G690" i="3"/>
  <c r="I689" i="3"/>
  <c r="H689" i="3"/>
  <c r="G689" i="3"/>
  <c r="I688" i="3"/>
  <c r="H688" i="3"/>
  <c r="G688" i="3"/>
  <c r="I687" i="3"/>
  <c r="H687" i="3"/>
  <c r="G687" i="3"/>
  <c r="I686" i="3"/>
  <c r="H686" i="3"/>
  <c r="G686" i="3"/>
  <c r="I685" i="3"/>
  <c r="H685" i="3"/>
  <c r="G685" i="3"/>
  <c r="I684" i="3"/>
  <c r="H684" i="3"/>
  <c r="G684" i="3"/>
  <c r="I683" i="3"/>
  <c r="H683" i="3"/>
  <c r="G683" i="3"/>
  <c r="I682" i="3"/>
  <c r="H682" i="3"/>
  <c r="G682" i="3"/>
  <c r="I681" i="3"/>
  <c r="H681" i="3"/>
  <c r="G681" i="3"/>
  <c r="I680" i="3"/>
  <c r="H680" i="3"/>
  <c r="G680" i="3"/>
  <c r="I679" i="3"/>
  <c r="H679" i="3"/>
  <c r="G679" i="3"/>
  <c r="I678" i="3"/>
  <c r="H678" i="3"/>
  <c r="G678" i="3"/>
  <c r="I677" i="3"/>
  <c r="H677" i="3"/>
  <c r="G677" i="3"/>
  <c r="I676" i="3"/>
  <c r="H676" i="3"/>
  <c r="G676" i="3"/>
  <c r="I675" i="3"/>
  <c r="H675" i="3"/>
  <c r="G675" i="3"/>
  <c r="I674" i="3"/>
  <c r="H674" i="3"/>
  <c r="G674" i="3"/>
  <c r="I673" i="3"/>
  <c r="H673" i="3"/>
  <c r="G673" i="3"/>
  <c r="I672" i="3"/>
  <c r="H672" i="3"/>
  <c r="G672" i="3"/>
  <c r="I671" i="3"/>
  <c r="H671" i="3"/>
  <c r="G671" i="3"/>
  <c r="I670" i="3"/>
  <c r="H670" i="3"/>
  <c r="G670" i="3"/>
  <c r="I669" i="3"/>
  <c r="H669" i="3"/>
  <c r="G669" i="3"/>
  <c r="I668" i="3"/>
  <c r="H668" i="3"/>
  <c r="G668" i="3"/>
  <c r="I667" i="3"/>
  <c r="H667" i="3"/>
  <c r="G667" i="3"/>
  <c r="I666" i="3"/>
  <c r="H666" i="3"/>
  <c r="G666" i="3"/>
  <c r="I665" i="3"/>
  <c r="H665" i="3"/>
  <c r="G665" i="3"/>
  <c r="I664" i="3"/>
  <c r="H664" i="3"/>
  <c r="G664" i="3"/>
  <c r="I663" i="3"/>
  <c r="H663" i="3"/>
  <c r="G663" i="3"/>
  <c r="I662" i="3"/>
  <c r="H662" i="3"/>
  <c r="G662" i="3"/>
  <c r="I661" i="3"/>
  <c r="H661" i="3"/>
  <c r="G661" i="3"/>
  <c r="I660" i="3"/>
  <c r="H660" i="3"/>
  <c r="G660" i="3"/>
  <c r="I659" i="3"/>
  <c r="H659" i="3"/>
  <c r="G659" i="3"/>
  <c r="I658" i="3"/>
  <c r="H658" i="3"/>
  <c r="G658" i="3"/>
  <c r="I657" i="3"/>
  <c r="H657" i="3"/>
  <c r="G657" i="3"/>
  <c r="I656" i="3"/>
  <c r="H656" i="3"/>
  <c r="G656" i="3"/>
  <c r="I655" i="3"/>
  <c r="H655" i="3"/>
  <c r="G655" i="3"/>
  <c r="I654" i="3"/>
  <c r="H654" i="3"/>
  <c r="G654" i="3"/>
  <c r="I653" i="3"/>
  <c r="H653" i="3"/>
  <c r="G653" i="3"/>
  <c r="I652" i="3"/>
  <c r="H652" i="3"/>
  <c r="G652" i="3"/>
  <c r="I651" i="3"/>
  <c r="H651" i="3"/>
  <c r="G651" i="3"/>
  <c r="I650" i="3"/>
  <c r="H650" i="3"/>
  <c r="G650" i="3"/>
  <c r="I649" i="3"/>
  <c r="H649" i="3"/>
  <c r="G649" i="3"/>
  <c r="I648" i="3"/>
  <c r="H648" i="3"/>
  <c r="G648" i="3"/>
  <c r="I647" i="3"/>
  <c r="H647" i="3"/>
  <c r="G647" i="3"/>
  <c r="I646" i="3"/>
  <c r="H646" i="3"/>
  <c r="G646" i="3"/>
  <c r="I645" i="3"/>
  <c r="H645" i="3"/>
  <c r="G645" i="3"/>
  <c r="I644" i="3"/>
  <c r="H644" i="3"/>
  <c r="G644" i="3"/>
  <c r="I643" i="3"/>
  <c r="H643" i="3"/>
  <c r="G643" i="3"/>
  <c r="I642" i="3"/>
  <c r="H642" i="3"/>
  <c r="G642" i="3"/>
  <c r="I641" i="3"/>
  <c r="H641" i="3"/>
  <c r="G641" i="3"/>
  <c r="I640" i="3"/>
  <c r="H640" i="3"/>
  <c r="G640" i="3"/>
  <c r="I639" i="3"/>
  <c r="H639" i="3"/>
  <c r="G639" i="3"/>
  <c r="I638" i="3"/>
  <c r="H638" i="3"/>
  <c r="G638" i="3"/>
  <c r="I637" i="3"/>
  <c r="H637" i="3"/>
  <c r="G637" i="3"/>
  <c r="I636" i="3"/>
  <c r="H636" i="3"/>
  <c r="G636" i="3"/>
  <c r="I635" i="3"/>
  <c r="H635" i="3"/>
  <c r="G635" i="3"/>
  <c r="I634" i="3"/>
  <c r="H634" i="3"/>
  <c r="G634" i="3"/>
  <c r="I633" i="3"/>
  <c r="H633" i="3"/>
  <c r="G633" i="3"/>
  <c r="I632" i="3"/>
  <c r="H632" i="3"/>
  <c r="G632" i="3"/>
  <c r="I631" i="3"/>
  <c r="H631" i="3"/>
  <c r="G631" i="3"/>
  <c r="I630" i="3"/>
  <c r="H630" i="3"/>
  <c r="G630" i="3"/>
  <c r="I629" i="3"/>
  <c r="H629" i="3"/>
  <c r="G629" i="3"/>
  <c r="I628" i="3"/>
  <c r="H628" i="3"/>
  <c r="G628" i="3"/>
  <c r="I627" i="3"/>
  <c r="H627" i="3"/>
  <c r="G627" i="3"/>
  <c r="I626" i="3"/>
  <c r="H626" i="3"/>
  <c r="G626" i="3"/>
  <c r="I625" i="3"/>
  <c r="H625" i="3"/>
  <c r="G625" i="3"/>
  <c r="I624" i="3"/>
  <c r="H624" i="3"/>
  <c r="G624" i="3"/>
  <c r="I623" i="3"/>
  <c r="H623" i="3"/>
  <c r="G623" i="3"/>
  <c r="I622" i="3"/>
  <c r="H622" i="3"/>
  <c r="G622" i="3"/>
  <c r="I621" i="3"/>
  <c r="H621" i="3"/>
  <c r="G621" i="3"/>
  <c r="I620" i="3"/>
  <c r="H620" i="3"/>
  <c r="G620" i="3"/>
  <c r="I619" i="3"/>
  <c r="H619" i="3"/>
  <c r="G619" i="3"/>
  <c r="I618" i="3"/>
  <c r="H618" i="3"/>
  <c r="G618" i="3"/>
  <c r="I617" i="3"/>
  <c r="H617" i="3"/>
  <c r="G617" i="3"/>
  <c r="I616" i="3"/>
  <c r="H616" i="3"/>
  <c r="G616" i="3"/>
  <c r="I615" i="3"/>
  <c r="H615" i="3"/>
  <c r="G615" i="3"/>
  <c r="I614" i="3"/>
  <c r="H614" i="3"/>
  <c r="G614" i="3"/>
  <c r="I613" i="3"/>
  <c r="H613" i="3"/>
  <c r="G613" i="3"/>
  <c r="I612" i="3"/>
  <c r="H612" i="3"/>
  <c r="G612" i="3"/>
  <c r="I611" i="3"/>
  <c r="H611" i="3"/>
  <c r="G611" i="3"/>
  <c r="I610" i="3"/>
  <c r="H610" i="3"/>
  <c r="G610" i="3"/>
  <c r="I609" i="3"/>
  <c r="H609" i="3"/>
  <c r="G609" i="3"/>
  <c r="I608" i="3"/>
  <c r="H608" i="3"/>
  <c r="G608" i="3"/>
  <c r="I607" i="3"/>
  <c r="H607" i="3"/>
  <c r="G607" i="3"/>
  <c r="I606" i="3"/>
  <c r="H606" i="3"/>
  <c r="G606" i="3"/>
  <c r="I605" i="3"/>
  <c r="H605" i="3"/>
  <c r="G605" i="3"/>
  <c r="I604" i="3"/>
  <c r="H604" i="3"/>
  <c r="G604" i="3"/>
  <c r="I603" i="3"/>
  <c r="H603" i="3"/>
  <c r="G603" i="3"/>
  <c r="I602" i="3"/>
  <c r="H602" i="3"/>
  <c r="G602" i="3"/>
  <c r="I601" i="3"/>
  <c r="H601" i="3"/>
  <c r="G601" i="3"/>
  <c r="I600" i="3"/>
  <c r="H600" i="3"/>
  <c r="G600" i="3"/>
  <c r="I599" i="3"/>
  <c r="H599" i="3"/>
  <c r="G599" i="3"/>
  <c r="I598" i="3"/>
  <c r="H598" i="3"/>
  <c r="G598" i="3"/>
  <c r="I597" i="3"/>
  <c r="H597" i="3"/>
  <c r="G597" i="3"/>
  <c r="I596" i="3"/>
  <c r="H596" i="3"/>
  <c r="G596" i="3"/>
  <c r="I595" i="3"/>
  <c r="H595" i="3"/>
  <c r="G595" i="3"/>
  <c r="I594" i="3"/>
  <c r="H594" i="3"/>
  <c r="G594" i="3"/>
  <c r="I593" i="3"/>
  <c r="H593" i="3"/>
  <c r="G593" i="3"/>
  <c r="I592" i="3"/>
  <c r="H592" i="3"/>
  <c r="G592" i="3"/>
  <c r="I591" i="3"/>
  <c r="H591" i="3"/>
  <c r="G591" i="3"/>
  <c r="I590" i="3"/>
  <c r="H590" i="3"/>
  <c r="G590" i="3"/>
  <c r="I589" i="3"/>
  <c r="H589" i="3"/>
  <c r="G589" i="3"/>
  <c r="I588" i="3"/>
  <c r="H588" i="3"/>
  <c r="G588" i="3"/>
  <c r="I587" i="3"/>
  <c r="H587" i="3"/>
  <c r="G587" i="3"/>
  <c r="I586" i="3"/>
  <c r="H586" i="3"/>
  <c r="G586" i="3"/>
  <c r="I585" i="3"/>
  <c r="H585" i="3"/>
  <c r="G585" i="3"/>
  <c r="I584" i="3"/>
  <c r="H584" i="3"/>
  <c r="G584" i="3"/>
  <c r="I583" i="3"/>
  <c r="H583" i="3"/>
  <c r="G583" i="3"/>
  <c r="I582" i="3"/>
  <c r="H582" i="3"/>
  <c r="G582" i="3"/>
  <c r="I581" i="3"/>
  <c r="H581" i="3"/>
  <c r="G581" i="3"/>
  <c r="I580" i="3"/>
  <c r="H580" i="3"/>
  <c r="G580" i="3"/>
  <c r="I579" i="3"/>
  <c r="H579" i="3"/>
  <c r="G579" i="3"/>
  <c r="I578" i="3"/>
  <c r="H578" i="3"/>
  <c r="G578" i="3"/>
  <c r="I577" i="3"/>
  <c r="H577" i="3"/>
  <c r="G577" i="3"/>
  <c r="I576" i="3"/>
  <c r="H576" i="3"/>
  <c r="G576" i="3"/>
  <c r="I575" i="3"/>
  <c r="H575" i="3"/>
  <c r="G575" i="3"/>
  <c r="I574" i="3"/>
  <c r="H574" i="3"/>
  <c r="G574" i="3"/>
  <c r="I573" i="3"/>
  <c r="H573" i="3"/>
  <c r="G573" i="3"/>
  <c r="I572" i="3"/>
  <c r="H572" i="3"/>
  <c r="G572" i="3"/>
  <c r="I571" i="3"/>
  <c r="H571" i="3"/>
  <c r="G571" i="3"/>
  <c r="I570" i="3"/>
  <c r="H570" i="3"/>
  <c r="G570" i="3"/>
  <c r="I569" i="3"/>
  <c r="H569" i="3"/>
  <c r="G569" i="3"/>
  <c r="I568" i="3"/>
  <c r="H568" i="3"/>
  <c r="G568" i="3"/>
  <c r="I567" i="3"/>
  <c r="H567" i="3"/>
  <c r="G567" i="3"/>
  <c r="I566" i="3"/>
  <c r="H566" i="3"/>
  <c r="G566" i="3"/>
  <c r="I565" i="3"/>
  <c r="H565" i="3"/>
  <c r="G565" i="3"/>
  <c r="I564" i="3"/>
  <c r="H564" i="3"/>
  <c r="G564" i="3"/>
  <c r="I563" i="3"/>
  <c r="H563" i="3"/>
  <c r="G563" i="3"/>
  <c r="I562" i="3"/>
  <c r="H562" i="3"/>
  <c r="G562" i="3"/>
  <c r="I561" i="3"/>
  <c r="H561" i="3"/>
  <c r="G561" i="3"/>
  <c r="I560" i="3"/>
  <c r="H560" i="3"/>
  <c r="G560" i="3"/>
  <c r="I559" i="3"/>
  <c r="H559" i="3"/>
  <c r="G559" i="3"/>
  <c r="I558" i="3"/>
  <c r="H558" i="3"/>
  <c r="G558" i="3"/>
  <c r="I557" i="3"/>
  <c r="H557" i="3"/>
  <c r="G557" i="3"/>
  <c r="I556" i="3"/>
  <c r="H556" i="3"/>
  <c r="G556" i="3"/>
  <c r="I555" i="3"/>
  <c r="H555" i="3"/>
  <c r="G555" i="3"/>
  <c r="I554" i="3"/>
  <c r="H554" i="3"/>
  <c r="G554" i="3"/>
  <c r="I553" i="3"/>
  <c r="H553" i="3"/>
  <c r="G553" i="3"/>
  <c r="I552" i="3"/>
  <c r="H552" i="3"/>
  <c r="G552" i="3"/>
  <c r="I551" i="3"/>
  <c r="H551" i="3"/>
  <c r="G551" i="3"/>
  <c r="I550" i="3"/>
  <c r="H550" i="3"/>
  <c r="G550" i="3"/>
  <c r="I549" i="3"/>
  <c r="H549" i="3"/>
  <c r="G549" i="3"/>
  <c r="I548" i="3"/>
  <c r="H548" i="3"/>
  <c r="G548" i="3"/>
  <c r="I547" i="3"/>
  <c r="H547" i="3"/>
  <c r="G547" i="3"/>
  <c r="I546" i="3"/>
  <c r="H546" i="3"/>
  <c r="G546" i="3"/>
  <c r="I545" i="3"/>
  <c r="H545" i="3"/>
  <c r="G545" i="3"/>
  <c r="I544" i="3"/>
  <c r="H544" i="3"/>
  <c r="G544" i="3"/>
  <c r="I543" i="3"/>
  <c r="H543" i="3"/>
  <c r="G543" i="3"/>
  <c r="I542" i="3"/>
  <c r="H542" i="3"/>
  <c r="G542" i="3"/>
  <c r="I541" i="3"/>
  <c r="H541" i="3"/>
  <c r="G541" i="3"/>
  <c r="I540" i="3"/>
  <c r="H540" i="3"/>
  <c r="G540" i="3"/>
  <c r="I539" i="3"/>
  <c r="H539" i="3"/>
  <c r="G539" i="3"/>
  <c r="I538" i="3"/>
  <c r="H538" i="3"/>
  <c r="G538" i="3"/>
  <c r="I537" i="3"/>
  <c r="H537" i="3"/>
  <c r="G537" i="3"/>
  <c r="I536" i="3"/>
  <c r="H536" i="3"/>
  <c r="G536" i="3"/>
  <c r="I535" i="3"/>
  <c r="H535" i="3"/>
  <c r="G535" i="3"/>
  <c r="I534" i="3"/>
  <c r="H534" i="3"/>
  <c r="G534" i="3"/>
  <c r="I533" i="3"/>
  <c r="H533" i="3"/>
  <c r="G533" i="3"/>
  <c r="I532" i="3"/>
  <c r="H532" i="3"/>
  <c r="G532" i="3"/>
  <c r="I531" i="3"/>
  <c r="H531" i="3"/>
  <c r="G531" i="3"/>
  <c r="I530" i="3"/>
  <c r="H530" i="3"/>
  <c r="G530" i="3"/>
  <c r="I529" i="3"/>
  <c r="H529" i="3"/>
  <c r="G529" i="3"/>
  <c r="I528" i="3"/>
  <c r="H528" i="3"/>
  <c r="G528" i="3"/>
  <c r="I527" i="3"/>
  <c r="H527" i="3"/>
  <c r="G527" i="3"/>
  <c r="I526" i="3"/>
  <c r="H526" i="3"/>
  <c r="G526" i="3"/>
  <c r="I525" i="3"/>
  <c r="H525" i="3"/>
  <c r="G525" i="3"/>
  <c r="I524" i="3"/>
  <c r="H524" i="3"/>
  <c r="G524" i="3"/>
  <c r="I523" i="3"/>
  <c r="H523" i="3"/>
  <c r="G523" i="3"/>
  <c r="I522" i="3"/>
  <c r="H522" i="3"/>
  <c r="G522" i="3"/>
  <c r="I521" i="3"/>
  <c r="H521" i="3"/>
  <c r="G521" i="3"/>
  <c r="I520" i="3"/>
  <c r="H520" i="3"/>
  <c r="G520" i="3"/>
  <c r="I519" i="3"/>
  <c r="H519" i="3"/>
  <c r="G519" i="3"/>
  <c r="I518" i="3"/>
  <c r="H518" i="3"/>
  <c r="G518" i="3"/>
  <c r="I517" i="3"/>
  <c r="H517" i="3"/>
  <c r="G517" i="3"/>
  <c r="I516" i="3"/>
  <c r="H516" i="3"/>
  <c r="G516" i="3"/>
  <c r="I515" i="3"/>
  <c r="H515" i="3"/>
  <c r="G515" i="3"/>
  <c r="I514" i="3"/>
  <c r="H514" i="3"/>
  <c r="G514" i="3"/>
  <c r="I513" i="3"/>
  <c r="H513" i="3"/>
  <c r="G513" i="3"/>
  <c r="I512" i="3"/>
  <c r="H512" i="3"/>
  <c r="G512" i="3"/>
  <c r="I511" i="3"/>
  <c r="H511" i="3"/>
  <c r="G511" i="3"/>
  <c r="I510" i="3"/>
  <c r="H510" i="3"/>
  <c r="G510" i="3"/>
  <c r="I509" i="3"/>
  <c r="H509" i="3"/>
  <c r="G509" i="3"/>
  <c r="I508" i="3"/>
  <c r="H508" i="3"/>
  <c r="G508" i="3"/>
  <c r="I507" i="3"/>
  <c r="H507" i="3"/>
  <c r="G507" i="3"/>
  <c r="I506" i="3"/>
  <c r="H506" i="3"/>
  <c r="G506" i="3"/>
  <c r="I505" i="3"/>
  <c r="H505" i="3"/>
  <c r="G505" i="3"/>
  <c r="I504" i="3"/>
  <c r="H504" i="3"/>
  <c r="G504" i="3"/>
  <c r="I503" i="3"/>
  <c r="H503" i="3"/>
  <c r="G503" i="3"/>
  <c r="I502" i="3"/>
  <c r="H502" i="3"/>
  <c r="G502" i="3"/>
  <c r="I501" i="3"/>
  <c r="H501" i="3"/>
  <c r="G501" i="3"/>
  <c r="I500" i="3"/>
  <c r="H500" i="3"/>
  <c r="G500" i="3"/>
  <c r="I499" i="3"/>
  <c r="H499" i="3"/>
  <c r="G499" i="3"/>
  <c r="I498" i="3"/>
  <c r="H498" i="3"/>
  <c r="G498" i="3"/>
  <c r="I497" i="3"/>
  <c r="H497" i="3"/>
  <c r="G497" i="3"/>
  <c r="I496" i="3"/>
  <c r="H496" i="3"/>
  <c r="G496" i="3"/>
  <c r="I495" i="3"/>
  <c r="H495" i="3"/>
  <c r="G495" i="3"/>
  <c r="I494" i="3"/>
  <c r="H494" i="3"/>
  <c r="G494" i="3"/>
  <c r="I493" i="3"/>
  <c r="H493" i="3"/>
  <c r="G493" i="3"/>
  <c r="I492" i="3"/>
  <c r="H492" i="3"/>
  <c r="G492" i="3"/>
  <c r="I491" i="3"/>
  <c r="H491" i="3"/>
  <c r="G491" i="3"/>
  <c r="I490" i="3"/>
  <c r="H490" i="3"/>
  <c r="G490" i="3"/>
  <c r="I489" i="3"/>
  <c r="H489" i="3"/>
  <c r="G489" i="3"/>
  <c r="I488" i="3"/>
  <c r="H488" i="3"/>
  <c r="G488" i="3"/>
  <c r="I487" i="3"/>
  <c r="H487" i="3"/>
  <c r="G487" i="3"/>
  <c r="I486" i="3"/>
  <c r="H486" i="3"/>
  <c r="G486" i="3"/>
  <c r="I485" i="3"/>
  <c r="H485" i="3"/>
  <c r="G485" i="3"/>
  <c r="I484" i="3"/>
  <c r="H484" i="3"/>
  <c r="G484" i="3"/>
  <c r="I483" i="3"/>
  <c r="H483" i="3"/>
  <c r="G483" i="3"/>
  <c r="I482" i="3"/>
  <c r="H482" i="3"/>
  <c r="G482" i="3"/>
  <c r="I481" i="3"/>
  <c r="H481" i="3"/>
  <c r="G481" i="3"/>
  <c r="I480" i="3"/>
  <c r="H480" i="3"/>
  <c r="G480" i="3"/>
  <c r="I479" i="3"/>
  <c r="H479" i="3"/>
  <c r="G479" i="3"/>
  <c r="I478" i="3"/>
  <c r="H478" i="3"/>
  <c r="G478" i="3"/>
  <c r="I477" i="3"/>
  <c r="H477" i="3"/>
  <c r="G477" i="3"/>
  <c r="I476" i="3"/>
  <c r="H476" i="3"/>
  <c r="G476" i="3"/>
  <c r="I475" i="3"/>
  <c r="H475" i="3"/>
  <c r="G475" i="3"/>
  <c r="I474" i="3"/>
  <c r="H474" i="3"/>
  <c r="G474" i="3"/>
  <c r="I473" i="3"/>
  <c r="H473" i="3"/>
  <c r="G473" i="3"/>
  <c r="I472" i="3"/>
  <c r="H472" i="3"/>
  <c r="G472" i="3"/>
  <c r="I471" i="3"/>
  <c r="H471" i="3"/>
  <c r="G471" i="3"/>
  <c r="I470" i="3"/>
  <c r="H470" i="3"/>
  <c r="G470" i="3"/>
  <c r="I469" i="3"/>
  <c r="H469" i="3"/>
  <c r="G469" i="3"/>
  <c r="I468" i="3"/>
  <c r="H468" i="3"/>
  <c r="G468" i="3"/>
  <c r="I467" i="3"/>
  <c r="H467" i="3"/>
  <c r="G467" i="3"/>
  <c r="I466" i="3"/>
  <c r="H466" i="3"/>
  <c r="G466" i="3"/>
  <c r="I465" i="3"/>
  <c r="H465" i="3"/>
  <c r="G465" i="3"/>
  <c r="I464" i="3"/>
  <c r="H464" i="3"/>
  <c r="G464" i="3"/>
  <c r="I463" i="3"/>
  <c r="H463" i="3"/>
  <c r="G463" i="3"/>
  <c r="I462" i="3"/>
  <c r="H462" i="3"/>
  <c r="G462" i="3"/>
  <c r="I461" i="3"/>
  <c r="H461" i="3"/>
  <c r="G461" i="3"/>
  <c r="I460" i="3"/>
  <c r="H460" i="3"/>
  <c r="G460" i="3"/>
  <c r="I459" i="3"/>
  <c r="H459" i="3"/>
  <c r="G459" i="3"/>
  <c r="I458" i="3"/>
  <c r="H458" i="3"/>
  <c r="G458" i="3"/>
  <c r="I457" i="3"/>
  <c r="H457" i="3"/>
  <c r="G457" i="3"/>
  <c r="I456" i="3"/>
  <c r="H456" i="3"/>
  <c r="G456" i="3"/>
  <c r="I455" i="3"/>
  <c r="H455" i="3"/>
  <c r="G455" i="3"/>
  <c r="I454" i="3"/>
  <c r="H454" i="3"/>
  <c r="G454" i="3"/>
  <c r="I453" i="3"/>
  <c r="H453" i="3"/>
  <c r="G453" i="3"/>
  <c r="I452" i="3"/>
  <c r="H452" i="3"/>
  <c r="G452" i="3"/>
  <c r="I451" i="3"/>
  <c r="H451" i="3"/>
  <c r="G451" i="3"/>
  <c r="I450" i="3"/>
  <c r="H450" i="3"/>
  <c r="G450" i="3"/>
  <c r="I449" i="3"/>
  <c r="H449" i="3"/>
  <c r="G449" i="3"/>
  <c r="I448" i="3"/>
  <c r="H448" i="3"/>
  <c r="G448" i="3"/>
  <c r="I447" i="3"/>
  <c r="H447" i="3"/>
  <c r="G447" i="3"/>
  <c r="I446" i="3"/>
  <c r="H446" i="3"/>
  <c r="G446" i="3"/>
  <c r="I445" i="3"/>
  <c r="H445" i="3"/>
  <c r="G445" i="3"/>
  <c r="I444" i="3"/>
  <c r="H444" i="3"/>
  <c r="G444" i="3"/>
  <c r="I443" i="3"/>
  <c r="H443" i="3"/>
  <c r="G443" i="3"/>
  <c r="I442" i="3"/>
  <c r="H442" i="3"/>
  <c r="G442" i="3"/>
  <c r="I441" i="3"/>
  <c r="H441" i="3"/>
  <c r="G441" i="3"/>
  <c r="I440" i="3"/>
  <c r="H440" i="3"/>
  <c r="G440" i="3"/>
  <c r="I439" i="3"/>
  <c r="H439" i="3"/>
  <c r="G439" i="3"/>
  <c r="I438" i="3"/>
  <c r="H438" i="3"/>
  <c r="G438" i="3"/>
  <c r="I437" i="3"/>
  <c r="H437" i="3"/>
  <c r="G437" i="3"/>
  <c r="I436" i="3"/>
  <c r="H436" i="3"/>
  <c r="G436" i="3"/>
  <c r="I435" i="3"/>
  <c r="H435" i="3"/>
  <c r="G435" i="3"/>
  <c r="I434" i="3"/>
  <c r="H434" i="3"/>
  <c r="G434" i="3"/>
  <c r="I433" i="3"/>
  <c r="H433" i="3"/>
  <c r="G433" i="3"/>
  <c r="I432" i="3"/>
  <c r="H432" i="3"/>
  <c r="G432" i="3"/>
  <c r="I431" i="3"/>
  <c r="H431" i="3"/>
  <c r="G431" i="3"/>
  <c r="I430" i="3"/>
  <c r="H430" i="3"/>
  <c r="G430" i="3"/>
  <c r="I429" i="3"/>
  <c r="H429" i="3"/>
  <c r="G429" i="3"/>
  <c r="I428" i="3"/>
  <c r="H428" i="3"/>
  <c r="G428" i="3"/>
  <c r="I427" i="3"/>
  <c r="H427" i="3"/>
  <c r="G427" i="3"/>
  <c r="I426" i="3"/>
  <c r="H426" i="3"/>
  <c r="G426" i="3"/>
  <c r="I425" i="3"/>
  <c r="H425" i="3"/>
  <c r="G425" i="3"/>
  <c r="I424" i="3"/>
  <c r="H424" i="3"/>
  <c r="G424" i="3"/>
  <c r="I423" i="3"/>
  <c r="H423" i="3"/>
  <c r="G423" i="3"/>
  <c r="I422" i="3"/>
  <c r="H422" i="3"/>
  <c r="G422" i="3"/>
  <c r="I421" i="3"/>
  <c r="H421" i="3"/>
  <c r="G421" i="3"/>
  <c r="I420" i="3"/>
  <c r="H420" i="3"/>
  <c r="G420" i="3"/>
  <c r="I419" i="3"/>
  <c r="H419" i="3"/>
  <c r="G419" i="3"/>
  <c r="I418" i="3"/>
  <c r="H418" i="3"/>
  <c r="G418" i="3"/>
  <c r="I417" i="3"/>
  <c r="H417" i="3"/>
  <c r="G417" i="3"/>
  <c r="I416" i="3"/>
  <c r="H416" i="3"/>
  <c r="G416" i="3"/>
  <c r="I415" i="3"/>
  <c r="H415" i="3"/>
  <c r="G415" i="3"/>
  <c r="I414" i="3"/>
  <c r="H414" i="3"/>
  <c r="G414" i="3"/>
  <c r="I413" i="3"/>
  <c r="H413" i="3"/>
  <c r="G413" i="3"/>
  <c r="I412" i="3"/>
  <c r="H412" i="3"/>
  <c r="G412" i="3"/>
  <c r="I411" i="3"/>
  <c r="H411" i="3"/>
  <c r="G411" i="3"/>
  <c r="I410" i="3"/>
  <c r="H410" i="3"/>
  <c r="G410" i="3"/>
  <c r="I409" i="3"/>
  <c r="H409" i="3"/>
  <c r="G409" i="3"/>
  <c r="I408" i="3"/>
  <c r="H408" i="3"/>
  <c r="G408" i="3"/>
  <c r="I407" i="3"/>
  <c r="H407" i="3"/>
  <c r="G407" i="3"/>
  <c r="I406" i="3"/>
  <c r="H406" i="3"/>
  <c r="G406" i="3"/>
  <c r="I405" i="3"/>
  <c r="H405" i="3"/>
  <c r="G405" i="3"/>
  <c r="I404" i="3"/>
  <c r="H404" i="3"/>
  <c r="G404" i="3"/>
  <c r="I403" i="3"/>
  <c r="H403" i="3"/>
  <c r="G403" i="3"/>
  <c r="I402" i="3"/>
  <c r="H402" i="3"/>
  <c r="G402" i="3"/>
  <c r="I401" i="3"/>
  <c r="H401" i="3"/>
  <c r="G401" i="3"/>
  <c r="I400" i="3"/>
  <c r="H400" i="3"/>
  <c r="G400" i="3"/>
  <c r="I399" i="3"/>
  <c r="H399" i="3"/>
  <c r="G399" i="3"/>
  <c r="I398" i="3"/>
  <c r="H398" i="3"/>
  <c r="G398" i="3"/>
  <c r="I397" i="3"/>
  <c r="H397" i="3"/>
  <c r="G397" i="3"/>
  <c r="I396" i="3"/>
  <c r="H396" i="3"/>
  <c r="G396" i="3"/>
  <c r="I395" i="3"/>
  <c r="H395" i="3"/>
  <c r="G395" i="3"/>
  <c r="I394" i="3"/>
  <c r="H394" i="3"/>
  <c r="G394" i="3"/>
  <c r="I393" i="3"/>
  <c r="H393" i="3"/>
  <c r="G393" i="3"/>
  <c r="I392" i="3"/>
  <c r="H392" i="3"/>
  <c r="G392" i="3"/>
  <c r="I391" i="3"/>
  <c r="H391" i="3"/>
  <c r="G391" i="3"/>
  <c r="I390" i="3"/>
  <c r="H390" i="3"/>
  <c r="G390" i="3"/>
  <c r="I389" i="3"/>
  <c r="H389" i="3"/>
  <c r="G389" i="3"/>
  <c r="I388" i="3"/>
  <c r="H388" i="3"/>
  <c r="G388" i="3"/>
  <c r="I387" i="3"/>
  <c r="H387" i="3"/>
  <c r="G387" i="3"/>
  <c r="I386" i="3"/>
  <c r="H386" i="3"/>
  <c r="G386" i="3"/>
  <c r="I385" i="3"/>
  <c r="H385" i="3"/>
  <c r="G385" i="3"/>
  <c r="I384" i="3"/>
  <c r="H384" i="3"/>
  <c r="G384" i="3"/>
  <c r="I383" i="3"/>
  <c r="H383" i="3"/>
  <c r="G383" i="3"/>
  <c r="I382" i="3"/>
  <c r="H382" i="3"/>
  <c r="G382" i="3"/>
  <c r="I381" i="3"/>
  <c r="H381" i="3"/>
  <c r="G381" i="3"/>
  <c r="I380" i="3"/>
  <c r="H380" i="3"/>
  <c r="G380" i="3"/>
  <c r="I379" i="3"/>
  <c r="H379" i="3"/>
  <c r="G379" i="3"/>
  <c r="I378" i="3"/>
  <c r="H378" i="3"/>
  <c r="G378" i="3"/>
  <c r="I377" i="3"/>
  <c r="H377" i="3"/>
  <c r="G377" i="3"/>
  <c r="I376" i="3"/>
  <c r="H376" i="3"/>
  <c r="G376" i="3"/>
  <c r="I375" i="3"/>
  <c r="H375" i="3"/>
  <c r="G375" i="3"/>
  <c r="I374" i="3"/>
  <c r="H374" i="3"/>
  <c r="G374" i="3"/>
  <c r="I373" i="3"/>
  <c r="H373" i="3"/>
  <c r="G373" i="3"/>
  <c r="I372" i="3"/>
  <c r="H372" i="3"/>
  <c r="G372" i="3"/>
  <c r="I371" i="3"/>
  <c r="H371" i="3"/>
  <c r="G371" i="3"/>
  <c r="I370" i="3"/>
  <c r="H370" i="3"/>
  <c r="G370" i="3"/>
  <c r="I369" i="3"/>
  <c r="H369" i="3"/>
  <c r="G369" i="3"/>
  <c r="I368" i="3"/>
  <c r="H368" i="3"/>
  <c r="G368" i="3"/>
  <c r="I367" i="3"/>
  <c r="H367" i="3"/>
  <c r="G367" i="3"/>
  <c r="I366" i="3"/>
  <c r="H366" i="3"/>
  <c r="G366" i="3"/>
  <c r="I365" i="3"/>
  <c r="H365" i="3"/>
  <c r="G365" i="3"/>
  <c r="I364" i="3"/>
  <c r="H364" i="3"/>
  <c r="G364" i="3"/>
  <c r="I363" i="3"/>
  <c r="H363" i="3"/>
  <c r="G363" i="3"/>
  <c r="I362" i="3"/>
  <c r="H362" i="3"/>
  <c r="G362" i="3"/>
  <c r="I361" i="3"/>
  <c r="H361" i="3"/>
  <c r="G361" i="3"/>
  <c r="I360" i="3"/>
  <c r="H360" i="3"/>
  <c r="G360" i="3"/>
  <c r="I359" i="3"/>
  <c r="H359" i="3"/>
  <c r="G359" i="3"/>
  <c r="I358" i="3"/>
  <c r="H358" i="3"/>
  <c r="G358" i="3"/>
  <c r="I357" i="3"/>
  <c r="H357" i="3"/>
  <c r="G357" i="3"/>
  <c r="I356" i="3"/>
  <c r="H356" i="3"/>
  <c r="G356" i="3"/>
  <c r="I355" i="3"/>
  <c r="H355" i="3"/>
  <c r="G355" i="3"/>
  <c r="I354" i="3"/>
  <c r="H354" i="3"/>
  <c r="G354" i="3"/>
  <c r="I353" i="3"/>
  <c r="H353" i="3"/>
  <c r="G353" i="3"/>
  <c r="I352" i="3"/>
  <c r="H352" i="3"/>
  <c r="G352" i="3"/>
  <c r="I351" i="3"/>
  <c r="H351" i="3"/>
  <c r="G351" i="3"/>
  <c r="I350" i="3"/>
  <c r="H350" i="3"/>
  <c r="G350" i="3"/>
  <c r="I349" i="3"/>
  <c r="H349" i="3"/>
  <c r="G349" i="3"/>
  <c r="I348" i="3"/>
  <c r="H348" i="3"/>
  <c r="G348" i="3"/>
  <c r="I347" i="3"/>
  <c r="H347" i="3"/>
  <c r="G347" i="3"/>
  <c r="I346" i="3"/>
  <c r="H346" i="3"/>
  <c r="G346" i="3"/>
  <c r="I345" i="3"/>
  <c r="H345" i="3"/>
  <c r="G345" i="3"/>
  <c r="I344" i="3"/>
  <c r="H344" i="3"/>
  <c r="G344" i="3"/>
  <c r="I343" i="3"/>
  <c r="H343" i="3"/>
  <c r="G343" i="3"/>
  <c r="I342" i="3"/>
  <c r="H342" i="3"/>
  <c r="G342" i="3"/>
  <c r="I341" i="3"/>
  <c r="H341" i="3"/>
  <c r="G341" i="3"/>
  <c r="I340" i="3"/>
  <c r="H340" i="3"/>
  <c r="G340" i="3"/>
  <c r="I339" i="3"/>
  <c r="H339" i="3"/>
  <c r="G339" i="3"/>
  <c r="I338" i="3"/>
  <c r="H338" i="3"/>
  <c r="G338" i="3"/>
  <c r="I337" i="3"/>
  <c r="H337" i="3"/>
  <c r="G337" i="3"/>
  <c r="I336" i="3"/>
  <c r="H336" i="3"/>
  <c r="G336" i="3"/>
  <c r="I335" i="3"/>
  <c r="H335" i="3"/>
  <c r="G335" i="3"/>
  <c r="I334" i="3"/>
  <c r="H334" i="3"/>
  <c r="G334" i="3"/>
  <c r="I333" i="3"/>
  <c r="H333" i="3"/>
  <c r="G333" i="3"/>
  <c r="I332" i="3"/>
  <c r="H332" i="3"/>
  <c r="G332" i="3"/>
  <c r="I331" i="3"/>
  <c r="H331" i="3"/>
  <c r="G331" i="3"/>
  <c r="I330" i="3"/>
  <c r="H330" i="3"/>
  <c r="G330" i="3"/>
  <c r="I329" i="3"/>
  <c r="H329" i="3"/>
  <c r="G329" i="3"/>
  <c r="I328" i="3"/>
  <c r="H328" i="3"/>
  <c r="G328" i="3"/>
  <c r="I327" i="3"/>
  <c r="H327" i="3"/>
  <c r="G327" i="3"/>
  <c r="I326" i="3"/>
  <c r="H326" i="3"/>
  <c r="G326" i="3"/>
  <c r="I325" i="3"/>
  <c r="H325" i="3"/>
  <c r="G325" i="3"/>
  <c r="I324" i="3"/>
  <c r="H324" i="3"/>
  <c r="G324" i="3"/>
  <c r="I323" i="3"/>
  <c r="H323" i="3"/>
  <c r="G323" i="3"/>
  <c r="I322" i="3"/>
  <c r="H322" i="3"/>
  <c r="G322" i="3"/>
  <c r="I321" i="3"/>
  <c r="H321" i="3"/>
  <c r="G321" i="3"/>
  <c r="I320" i="3"/>
  <c r="H320" i="3"/>
  <c r="G320" i="3"/>
  <c r="I319" i="3"/>
  <c r="H319" i="3"/>
  <c r="G319" i="3"/>
  <c r="I318" i="3"/>
  <c r="H318" i="3"/>
  <c r="G318" i="3"/>
  <c r="I317" i="3"/>
  <c r="H317" i="3"/>
  <c r="G317" i="3"/>
  <c r="I316" i="3"/>
  <c r="H316" i="3"/>
  <c r="G316" i="3"/>
  <c r="I315" i="3"/>
  <c r="H315" i="3"/>
  <c r="G315" i="3"/>
  <c r="I314" i="3"/>
  <c r="H314" i="3"/>
  <c r="G314" i="3"/>
  <c r="I313" i="3"/>
  <c r="H313" i="3"/>
  <c r="G313" i="3"/>
  <c r="I312" i="3"/>
  <c r="H312" i="3"/>
  <c r="G312" i="3"/>
  <c r="I311" i="3"/>
  <c r="H311" i="3"/>
  <c r="G311" i="3"/>
  <c r="I310" i="3"/>
  <c r="H310" i="3"/>
  <c r="G310" i="3"/>
  <c r="I309" i="3"/>
  <c r="H309" i="3"/>
  <c r="G309" i="3"/>
  <c r="I308" i="3"/>
  <c r="H308" i="3"/>
  <c r="G308" i="3"/>
  <c r="I307" i="3"/>
  <c r="H307" i="3"/>
  <c r="G307" i="3"/>
  <c r="I306" i="3"/>
  <c r="H306" i="3"/>
  <c r="G306" i="3"/>
  <c r="I305" i="3"/>
  <c r="H305" i="3"/>
  <c r="G305" i="3"/>
  <c r="I304" i="3"/>
  <c r="H304" i="3"/>
  <c r="G304" i="3"/>
  <c r="I303" i="3"/>
  <c r="H303" i="3"/>
  <c r="G303" i="3"/>
  <c r="I302" i="3"/>
  <c r="H302" i="3"/>
  <c r="G302" i="3"/>
  <c r="I301" i="3"/>
  <c r="H301" i="3"/>
  <c r="G301" i="3"/>
  <c r="I300" i="3"/>
  <c r="H300" i="3"/>
  <c r="G300" i="3"/>
  <c r="I299" i="3"/>
  <c r="H299" i="3"/>
  <c r="G299" i="3"/>
  <c r="I298" i="3"/>
  <c r="H298" i="3"/>
  <c r="G298" i="3"/>
  <c r="I297" i="3"/>
  <c r="H297" i="3"/>
  <c r="G297" i="3"/>
  <c r="I296" i="3"/>
  <c r="H296" i="3"/>
  <c r="G296" i="3"/>
  <c r="I295" i="3"/>
  <c r="H295" i="3"/>
  <c r="G295" i="3"/>
  <c r="I294" i="3"/>
  <c r="H294" i="3"/>
  <c r="G294" i="3"/>
  <c r="I293" i="3"/>
  <c r="H293" i="3"/>
  <c r="G293" i="3"/>
  <c r="I292" i="3"/>
  <c r="H292" i="3"/>
  <c r="G292" i="3"/>
  <c r="I291" i="3"/>
  <c r="H291" i="3"/>
  <c r="G291" i="3"/>
  <c r="I290" i="3"/>
  <c r="H290" i="3"/>
  <c r="G290" i="3"/>
  <c r="I289" i="3"/>
  <c r="H289" i="3"/>
  <c r="G289" i="3"/>
  <c r="I288" i="3"/>
  <c r="H288" i="3"/>
  <c r="G288" i="3"/>
  <c r="I287" i="3"/>
  <c r="H287" i="3"/>
  <c r="G287" i="3"/>
  <c r="I286" i="3"/>
  <c r="H286" i="3"/>
  <c r="G286" i="3"/>
  <c r="I285" i="3"/>
  <c r="H285" i="3"/>
  <c r="G285" i="3"/>
  <c r="I284" i="3"/>
  <c r="H284" i="3"/>
  <c r="G284" i="3"/>
  <c r="I283" i="3"/>
  <c r="H283" i="3"/>
  <c r="G283" i="3"/>
  <c r="I282" i="3"/>
  <c r="H282" i="3"/>
  <c r="G282" i="3"/>
  <c r="I281" i="3"/>
  <c r="H281" i="3"/>
  <c r="G281" i="3"/>
  <c r="I280" i="3"/>
  <c r="H280" i="3"/>
  <c r="G280" i="3"/>
  <c r="I279" i="3"/>
  <c r="H279" i="3"/>
  <c r="G279" i="3"/>
  <c r="I278" i="3"/>
  <c r="H278" i="3"/>
  <c r="G278" i="3"/>
  <c r="I277" i="3"/>
  <c r="H277" i="3"/>
  <c r="G277" i="3"/>
  <c r="I276" i="3"/>
  <c r="H276" i="3"/>
  <c r="G276" i="3"/>
  <c r="I275" i="3"/>
  <c r="H275" i="3"/>
  <c r="G275" i="3"/>
  <c r="I274" i="3"/>
  <c r="H274" i="3"/>
  <c r="G274" i="3"/>
  <c r="I273" i="3"/>
  <c r="H273" i="3"/>
  <c r="G273" i="3"/>
  <c r="I272" i="3"/>
  <c r="H272" i="3"/>
  <c r="G272" i="3"/>
  <c r="I271" i="3"/>
  <c r="H271" i="3"/>
  <c r="G271" i="3"/>
  <c r="I270" i="3"/>
  <c r="H270" i="3"/>
  <c r="G270" i="3"/>
  <c r="I269" i="3"/>
  <c r="H269" i="3"/>
  <c r="G269" i="3"/>
  <c r="I268" i="3"/>
  <c r="H268" i="3"/>
  <c r="G268" i="3"/>
  <c r="I267" i="3"/>
  <c r="H267" i="3"/>
  <c r="G267" i="3"/>
  <c r="I266" i="3"/>
  <c r="H266" i="3"/>
  <c r="G266" i="3"/>
  <c r="I265" i="3"/>
  <c r="H265" i="3"/>
  <c r="G265" i="3"/>
  <c r="I264" i="3"/>
  <c r="H264" i="3"/>
  <c r="G264" i="3"/>
  <c r="I263" i="3"/>
  <c r="H263" i="3"/>
  <c r="G263" i="3"/>
  <c r="I262" i="3"/>
  <c r="H262" i="3"/>
  <c r="G262" i="3"/>
  <c r="I261" i="3"/>
  <c r="H261" i="3"/>
  <c r="G261" i="3"/>
  <c r="I260" i="3"/>
  <c r="H260" i="3"/>
  <c r="G260" i="3"/>
  <c r="I259" i="3"/>
  <c r="H259" i="3"/>
  <c r="G259" i="3"/>
  <c r="I258" i="3"/>
  <c r="H258" i="3"/>
  <c r="G258" i="3"/>
  <c r="I257" i="3"/>
  <c r="H257" i="3"/>
  <c r="G257" i="3"/>
  <c r="I256" i="3"/>
  <c r="H256" i="3"/>
  <c r="G256" i="3"/>
  <c r="I255" i="3"/>
  <c r="H255" i="3"/>
  <c r="G255" i="3"/>
  <c r="I254" i="3"/>
  <c r="H254" i="3"/>
  <c r="G254" i="3"/>
  <c r="I253" i="3"/>
  <c r="H253" i="3"/>
  <c r="G253" i="3"/>
  <c r="I252" i="3"/>
  <c r="H252" i="3"/>
  <c r="G252" i="3"/>
  <c r="I251" i="3"/>
  <c r="H251" i="3"/>
  <c r="G251" i="3"/>
  <c r="I250" i="3"/>
  <c r="H250" i="3"/>
  <c r="G250" i="3"/>
  <c r="I249" i="3"/>
  <c r="H249" i="3"/>
  <c r="G249" i="3"/>
  <c r="I248" i="3"/>
  <c r="H248" i="3"/>
  <c r="G248" i="3"/>
  <c r="I247" i="3"/>
  <c r="H247" i="3"/>
  <c r="G247" i="3"/>
  <c r="I246" i="3"/>
  <c r="H246" i="3"/>
  <c r="G246" i="3"/>
  <c r="I245" i="3"/>
  <c r="H245" i="3"/>
  <c r="G245" i="3"/>
  <c r="I244" i="3"/>
  <c r="H244" i="3"/>
  <c r="G244" i="3"/>
  <c r="I243" i="3"/>
  <c r="H243" i="3"/>
  <c r="G243" i="3"/>
  <c r="I242" i="3"/>
  <c r="H242" i="3"/>
  <c r="G242" i="3"/>
  <c r="I241" i="3"/>
  <c r="H241" i="3"/>
  <c r="G241" i="3"/>
  <c r="I240" i="3"/>
  <c r="H240" i="3"/>
  <c r="G240" i="3"/>
  <c r="I239" i="3"/>
  <c r="H239" i="3"/>
  <c r="G239" i="3"/>
  <c r="I238" i="3"/>
  <c r="H238" i="3"/>
  <c r="G238" i="3"/>
  <c r="I237" i="3"/>
  <c r="H237" i="3"/>
  <c r="G237" i="3"/>
  <c r="I236" i="3"/>
  <c r="H236" i="3"/>
  <c r="G236" i="3"/>
  <c r="I235" i="3"/>
  <c r="H235" i="3"/>
  <c r="G235" i="3"/>
  <c r="I234" i="3"/>
  <c r="H234" i="3"/>
  <c r="G234" i="3"/>
  <c r="I233" i="3"/>
  <c r="H233" i="3"/>
  <c r="G233" i="3"/>
  <c r="I232" i="3"/>
  <c r="H232" i="3"/>
  <c r="G232" i="3"/>
  <c r="I231" i="3"/>
  <c r="H231" i="3"/>
  <c r="G231" i="3"/>
  <c r="I230" i="3"/>
  <c r="H230" i="3"/>
  <c r="G230" i="3"/>
  <c r="I229" i="3"/>
  <c r="H229" i="3"/>
  <c r="G229" i="3"/>
  <c r="I228" i="3"/>
  <c r="H228" i="3"/>
  <c r="G228" i="3"/>
  <c r="I227" i="3"/>
  <c r="H227" i="3"/>
  <c r="G227" i="3"/>
  <c r="I226" i="3"/>
  <c r="H226" i="3"/>
  <c r="G226" i="3"/>
  <c r="I225" i="3"/>
  <c r="H225" i="3"/>
  <c r="G225" i="3"/>
  <c r="I224" i="3"/>
  <c r="H224" i="3"/>
  <c r="G224" i="3"/>
  <c r="I223" i="3"/>
  <c r="H223" i="3"/>
  <c r="G223" i="3"/>
  <c r="I222" i="3"/>
  <c r="H222" i="3"/>
  <c r="G222" i="3"/>
  <c r="I221" i="3"/>
  <c r="H221" i="3"/>
  <c r="G221" i="3"/>
  <c r="I220" i="3"/>
  <c r="H220" i="3"/>
  <c r="G220" i="3"/>
  <c r="I219" i="3"/>
  <c r="H219" i="3"/>
  <c r="G219" i="3"/>
  <c r="I218" i="3"/>
  <c r="H218" i="3"/>
  <c r="G218" i="3"/>
  <c r="I217" i="3"/>
  <c r="H217" i="3"/>
  <c r="G217" i="3"/>
  <c r="I216" i="3"/>
  <c r="H216" i="3"/>
  <c r="G216" i="3"/>
  <c r="I215" i="3"/>
  <c r="H215" i="3"/>
  <c r="G215" i="3"/>
  <c r="I214" i="3"/>
  <c r="H214" i="3"/>
  <c r="G214" i="3"/>
  <c r="I213" i="3"/>
  <c r="H213" i="3"/>
  <c r="G213" i="3"/>
  <c r="I212" i="3"/>
  <c r="H212" i="3"/>
  <c r="G212" i="3"/>
  <c r="I211" i="3"/>
  <c r="H211" i="3"/>
  <c r="G211" i="3"/>
  <c r="I210" i="3"/>
  <c r="H210" i="3"/>
  <c r="G210" i="3"/>
  <c r="I209" i="3"/>
  <c r="H209" i="3"/>
  <c r="G209" i="3"/>
  <c r="I208" i="3"/>
  <c r="H208" i="3"/>
  <c r="G208" i="3"/>
  <c r="I207" i="3"/>
  <c r="H207" i="3"/>
  <c r="G207" i="3"/>
  <c r="I206" i="3"/>
  <c r="H206" i="3"/>
  <c r="G206" i="3"/>
  <c r="I205" i="3"/>
  <c r="H205" i="3"/>
  <c r="G205" i="3"/>
  <c r="I204" i="3"/>
  <c r="H204" i="3"/>
  <c r="G204" i="3"/>
  <c r="I203" i="3"/>
  <c r="H203" i="3"/>
  <c r="G203" i="3"/>
  <c r="I202" i="3"/>
  <c r="H202" i="3"/>
  <c r="G202" i="3"/>
  <c r="I201" i="3"/>
  <c r="H201" i="3"/>
  <c r="G201" i="3"/>
  <c r="I200" i="3"/>
  <c r="H200" i="3"/>
  <c r="G200" i="3"/>
  <c r="I199" i="3"/>
  <c r="H199" i="3"/>
  <c r="G199" i="3"/>
  <c r="I198" i="3"/>
  <c r="H198" i="3"/>
  <c r="G198" i="3"/>
  <c r="I197" i="3"/>
  <c r="H197" i="3"/>
  <c r="G197" i="3"/>
  <c r="I196" i="3"/>
  <c r="H196" i="3"/>
  <c r="G196" i="3"/>
  <c r="I195" i="3"/>
  <c r="H195" i="3"/>
  <c r="G195" i="3"/>
  <c r="I194" i="3"/>
  <c r="H194" i="3"/>
  <c r="G194" i="3"/>
  <c r="I193" i="3"/>
  <c r="H193" i="3"/>
  <c r="G193" i="3"/>
  <c r="I192" i="3"/>
  <c r="H192" i="3"/>
  <c r="G192" i="3"/>
  <c r="I191" i="3"/>
  <c r="H191" i="3"/>
  <c r="G191" i="3"/>
  <c r="I190" i="3"/>
  <c r="H190" i="3"/>
  <c r="G190" i="3"/>
  <c r="I189" i="3"/>
  <c r="H189" i="3"/>
  <c r="G189" i="3"/>
  <c r="I188" i="3"/>
  <c r="H188" i="3"/>
  <c r="G188" i="3"/>
  <c r="I187" i="3"/>
  <c r="H187" i="3"/>
  <c r="G187" i="3"/>
  <c r="I186" i="3"/>
  <c r="H186" i="3"/>
  <c r="G186" i="3"/>
  <c r="I185" i="3"/>
  <c r="H185" i="3"/>
  <c r="G185" i="3"/>
  <c r="I184" i="3"/>
  <c r="H184" i="3"/>
  <c r="G184" i="3"/>
  <c r="I183" i="3"/>
  <c r="H183" i="3"/>
  <c r="G183" i="3"/>
  <c r="I182" i="3"/>
  <c r="H182" i="3"/>
  <c r="G182" i="3"/>
  <c r="I181" i="3"/>
  <c r="H181" i="3"/>
  <c r="G181" i="3"/>
  <c r="I180" i="3"/>
  <c r="H180" i="3"/>
  <c r="G180" i="3"/>
  <c r="I179" i="3"/>
  <c r="H179" i="3"/>
  <c r="G179" i="3"/>
  <c r="I178" i="3"/>
  <c r="H178" i="3"/>
  <c r="G178" i="3"/>
  <c r="I177" i="3"/>
  <c r="H177" i="3"/>
  <c r="G177" i="3"/>
  <c r="I176" i="3"/>
  <c r="H176" i="3"/>
  <c r="G176" i="3"/>
  <c r="I175" i="3"/>
  <c r="H175" i="3"/>
  <c r="G175" i="3"/>
  <c r="I174" i="3"/>
  <c r="H174" i="3"/>
  <c r="G174" i="3"/>
  <c r="I173" i="3"/>
  <c r="H173" i="3"/>
  <c r="G173" i="3"/>
  <c r="I172" i="3"/>
  <c r="H172" i="3"/>
  <c r="G172" i="3"/>
  <c r="I171" i="3"/>
  <c r="H171" i="3"/>
  <c r="G171" i="3"/>
  <c r="I170" i="3"/>
  <c r="H170" i="3"/>
  <c r="G170" i="3"/>
  <c r="I169" i="3"/>
  <c r="H169" i="3"/>
  <c r="G169" i="3"/>
  <c r="I168" i="3"/>
  <c r="H168" i="3"/>
  <c r="G168" i="3"/>
  <c r="I167" i="3"/>
  <c r="H167" i="3"/>
  <c r="G167" i="3"/>
  <c r="I166" i="3"/>
  <c r="H166" i="3"/>
  <c r="G166" i="3"/>
  <c r="I165" i="3"/>
  <c r="H165" i="3"/>
  <c r="G165" i="3"/>
  <c r="I164" i="3"/>
  <c r="H164" i="3"/>
  <c r="G164" i="3"/>
  <c r="I163" i="3"/>
  <c r="H163" i="3"/>
  <c r="G163" i="3"/>
  <c r="I162" i="3"/>
  <c r="H162" i="3"/>
  <c r="G162" i="3"/>
  <c r="I161" i="3"/>
  <c r="H161" i="3"/>
  <c r="G161" i="3"/>
  <c r="I160" i="3"/>
  <c r="H160" i="3"/>
  <c r="G160" i="3"/>
  <c r="I159" i="3"/>
  <c r="H159" i="3"/>
  <c r="G159" i="3"/>
  <c r="I158" i="3"/>
  <c r="H158" i="3"/>
  <c r="G158" i="3"/>
  <c r="I157" i="3"/>
  <c r="H157" i="3"/>
  <c r="G157" i="3"/>
  <c r="I156" i="3"/>
  <c r="H156" i="3"/>
  <c r="G156" i="3"/>
  <c r="I155" i="3"/>
  <c r="H155" i="3"/>
  <c r="G155" i="3"/>
  <c r="I154" i="3"/>
  <c r="H154" i="3"/>
  <c r="G154" i="3"/>
  <c r="I153" i="3"/>
  <c r="H153" i="3"/>
  <c r="G153" i="3"/>
  <c r="I152" i="3"/>
  <c r="H152" i="3"/>
  <c r="G152" i="3"/>
  <c r="I151" i="3"/>
  <c r="H151" i="3"/>
  <c r="G151" i="3"/>
  <c r="I150" i="3"/>
  <c r="H150" i="3"/>
  <c r="G150" i="3"/>
  <c r="I149" i="3"/>
  <c r="H149" i="3"/>
  <c r="G149" i="3"/>
  <c r="I148" i="3"/>
  <c r="H148" i="3"/>
  <c r="G148" i="3"/>
  <c r="I147" i="3"/>
  <c r="H147" i="3"/>
  <c r="G147" i="3"/>
  <c r="I146" i="3"/>
  <c r="H146" i="3"/>
  <c r="G146" i="3"/>
  <c r="I145" i="3"/>
  <c r="H145" i="3"/>
  <c r="G145" i="3"/>
  <c r="I144" i="3"/>
  <c r="H144" i="3"/>
  <c r="G144" i="3"/>
  <c r="I143" i="3"/>
  <c r="H143" i="3"/>
  <c r="G143" i="3"/>
  <c r="I142" i="3"/>
  <c r="H142" i="3"/>
  <c r="G142" i="3"/>
  <c r="I141" i="3"/>
  <c r="H141" i="3"/>
  <c r="G141" i="3"/>
  <c r="I140" i="3"/>
  <c r="H140" i="3"/>
  <c r="G140" i="3"/>
  <c r="I139" i="3"/>
  <c r="H139" i="3"/>
  <c r="G139" i="3"/>
  <c r="I138" i="3"/>
  <c r="H138" i="3"/>
  <c r="G138" i="3"/>
  <c r="I137" i="3"/>
  <c r="H137" i="3"/>
  <c r="G137" i="3"/>
  <c r="I136" i="3"/>
  <c r="H136" i="3"/>
  <c r="G136" i="3"/>
  <c r="I135" i="3"/>
  <c r="H135" i="3"/>
  <c r="G135" i="3"/>
  <c r="I134" i="3"/>
  <c r="H134" i="3"/>
  <c r="G134" i="3"/>
  <c r="I133" i="3"/>
  <c r="H133" i="3"/>
  <c r="G133" i="3"/>
  <c r="I132" i="3"/>
  <c r="H132" i="3"/>
  <c r="G132" i="3"/>
  <c r="I131" i="3"/>
  <c r="H131" i="3"/>
  <c r="G131" i="3"/>
  <c r="I130" i="3"/>
  <c r="H130" i="3"/>
  <c r="G130" i="3"/>
  <c r="I129" i="3"/>
  <c r="H129" i="3"/>
  <c r="G129" i="3"/>
  <c r="I128" i="3"/>
  <c r="H128" i="3"/>
  <c r="G128" i="3"/>
  <c r="I127" i="3"/>
  <c r="H127" i="3"/>
  <c r="G127" i="3"/>
  <c r="I126" i="3"/>
  <c r="H126" i="3"/>
  <c r="G126" i="3"/>
  <c r="I125" i="3"/>
  <c r="H125" i="3"/>
  <c r="G125" i="3"/>
  <c r="I124" i="3"/>
  <c r="H124" i="3"/>
  <c r="G124" i="3"/>
  <c r="I123" i="3"/>
  <c r="H123" i="3"/>
  <c r="G123" i="3"/>
  <c r="I122" i="3"/>
  <c r="H122" i="3"/>
  <c r="G122" i="3"/>
  <c r="I121" i="3"/>
  <c r="H121" i="3"/>
  <c r="G121" i="3"/>
  <c r="I120" i="3"/>
  <c r="H120" i="3"/>
  <c r="G120" i="3"/>
  <c r="I119" i="3"/>
  <c r="H119" i="3"/>
  <c r="G119" i="3"/>
  <c r="I118" i="3"/>
  <c r="H118" i="3"/>
  <c r="G118" i="3"/>
  <c r="I117" i="3"/>
  <c r="H117" i="3"/>
  <c r="G117" i="3"/>
  <c r="I116" i="3"/>
  <c r="H116" i="3"/>
  <c r="G116" i="3"/>
  <c r="I115" i="3"/>
  <c r="H115" i="3"/>
  <c r="G115" i="3"/>
  <c r="I114" i="3"/>
  <c r="H114" i="3"/>
  <c r="G114" i="3"/>
  <c r="I113" i="3"/>
  <c r="H113" i="3"/>
  <c r="G113" i="3"/>
  <c r="I112" i="3"/>
  <c r="H112" i="3"/>
  <c r="G112" i="3"/>
  <c r="I111" i="3"/>
  <c r="H111" i="3"/>
  <c r="G111" i="3"/>
  <c r="I110" i="3"/>
  <c r="H110" i="3"/>
  <c r="G110" i="3"/>
  <c r="I109" i="3"/>
  <c r="H109" i="3"/>
  <c r="G109" i="3"/>
  <c r="I108" i="3"/>
  <c r="H108" i="3"/>
  <c r="G108" i="3"/>
  <c r="I107" i="3"/>
  <c r="H107" i="3"/>
  <c r="G107" i="3"/>
  <c r="I106" i="3"/>
  <c r="H106" i="3"/>
  <c r="G106" i="3"/>
  <c r="I105" i="3"/>
  <c r="H105" i="3"/>
  <c r="G105" i="3"/>
  <c r="I104" i="3"/>
  <c r="H104" i="3"/>
  <c r="G104" i="3"/>
  <c r="I103" i="3"/>
  <c r="H103" i="3"/>
  <c r="G103" i="3"/>
  <c r="I102" i="3"/>
  <c r="H102" i="3"/>
  <c r="G102" i="3"/>
  <c r="I101" i="3"/>
  <c r="H101" i="3"/>
  <c r="G101" i="3"/>
  <c r="I100" i="3"/>
  <c r="H100" i="3"/>
  <c r="G100" i="3"/>
  <c r="I99" i="3"/>
  <c r="H99" i="3"/>
  <c r="G99" i="3"/>
  <c r="I98" i="3"/>
  <c r="H98" i="3"/>
  <c r="G98" i="3"/>
  <c r="I97" i="3"/>
  <c r="H97" i="3"/>
  <c r="G97" i="3"/>
  <c r="I96" i="3"/>
  <c r="H96" i="3"/>
  <c r="G96" i="3"/>
  <c r="I95" i="3"/>
  <c r="H95" i="3"/>
  <c r="G95" i="3"/>
  <c r="I94" i="3"/>
  <c r="H94" i="3"/>
  <c r="G94" i="3"/>
  <c r="I93" i="3"/>
  <c r="H93" i="3"/>
  <c r="G93" i="3"/>
  <c r="I92" i="3"/>
  <c r="H92" i="3"/>
  <c r="G92" i="3"/>
  <c r="I91" i="3"/>
  <c r="H91" i="3"/>
  <c r="G91" i="3"/>
  <c r="I90" i="3"/>
  <c r="H90" i="3"/>
  <c r="G90" i="3"/>
  <c r="I89" i="3"/>
  <c r="H89" i="3"/>
  <c r="G89" i="3"/>
  <c r="I88" i="3"/>
  <c r="H88" i="3"/>
  <c r="G88" i="3"/>
  <c r="I87" i="3"/>
  <c r="H87" i="3"/>
  <c r="G87" i="3"/>
  <c r="I86" i="3"/>
  <c r="H86" i="3"/>
  <c r="G86" i="3"/>
  <c r="I85" i="3"/>
  <c r="H85" i="3"/>
  <c r="G85" i="3"/>
  <c r="I84" i="3"/>
  <c r="H84" i="3"/>
  <c r="G84" i="3"/>
  <c r="I83" i="3"/>
  <c r="H83" i="3"/>
  <c r="G83" i="3"/>
  <c r="I82" i="3"/>
  <c r="H82" i="3"/>
  <c r="G82" i="3"/>
  <c r="I81" i="3"/>
  <c r="H81" i="3"/>
  <c r="G81" i="3"/>
  <c r="I80" i="3"/>
  <c r="H80" i="3"/>
  <c r="G80" i="3"/>
  <c r="I79" i="3"/>
  <c r="H79" i="3"/>
  <c r="G79" i="3"/>
  <c r="I78" i="3"/>
  <c r="H78" i="3"/>
  <c r="G78" i="3"/>
  <c r="I77" i="3"/>
  <c r="H77" i="3"/>
  <c r="G77" i="3"/>
  <c r="I76" i="3"/>
  <c r="H76" i="3"/>
  <c r="G76" i="3"/>
  <c r="I75" i="3"/>
  <c r="H75" i="3"/>
  <c r="G75" i="3"/>
  <c r="I74" i="3"/>
  <c r="H74" i="3"/>
  <c r="G74" i="3"/>
  <c r="I73" i="3"/>
  <c r="H73" i="3"/>
  <c r="G73" i="3"/>
  <c r="I72" i="3"/>
  <c r="H72" i="3"/>
  <c r="G72" i="3"/>
  <c r="I71" i="3"/>
  <c r="H71" i="3"/>
  <c r="G71" i="3"/>
  <c r="I70" i="3"/>
  <c r="H70" i="3"/>
  <c r="G70" i="3"/>
  <c r="I69" i="3"/>
  <c r="H69" i="3"/>
  <c r="G69" i="3"/>
  <c r="I68" i="3"/>
  <c r="H68" i="3"/>
  <c r="G68" i="3"/>
  <c r="I67" i="3"/>
  <c r="H67" i="3"/>
  <c r="G67" i="3"/>
  <c r="I66" i="3"/>
  <c r="H66" i="3"/>
  <c r="G66" i="3"/>
  <c r="I65" i="3"/>
  <c r="H65" i="3"/>
  <c r="G65" i="3"/>
  <c r="I64" i="3"/>
  <c r="H64" i="3"/>
  <c r="G64" i="3"/>
  <c r="I63" i="3"/>
  <c r="H63" i="3"/>
  <c r="G63" i="3"/>
  <c r="I62" i="3"/>
  <c r="H62" i="3"/>
  <c r="G62" i="3"/>
  <c r="I61" i="3"/>
  <c r="H61" i="3"/>
  <c r="G61" i="3"/>
  <c r="I60" i="3"/>
  <c r="H60" i="3"/>
  <c r="G60" i="3"/>
  <c r="I59" i="3"/>
  <c r="H59" i="3"/>
  <c r="G59" i="3"/>
  <c r="I58" i="3"/>
  <c r="H58" i="3"/>
  <c r="G58" i="3"/>
  <c r="I57" i="3"/>
  <c r="H57" i="3"/>
  <c r="G57" i="3"/>
  <c r="I56" i="3"/>
  <c r="H56" i="3"/>
  <c r="G56" i="3"/>
  <c r="I55" i="3"/>
  <c r="H55" i="3"/>
  <c r="G55" i="3"/>
  <c r="I54" i="3"/>
  <c r="H54" i="3"/>
  <c r="G54" i="3"/>
  <c r="I53" i="3"/>
  <c r="H53" i="3"/>
  <c r="G53" i="3"/>
  <c r="I52" i="3"/>
  <c r="H52" i="3"/>
  <c r="G52" i="3"/>
  <c r="I51" i="3"/>
  <c r="H51" i="3"/>
  <c r="G51" i="3"/>
  <c r="I50" i="3"/>
  <c r="H50" i="3"/>
  <c r="G50" i="3"/>
  <c r="I49" i="3"/>
  <c r="H49" i="3"/>
  <c r="G49" i="3"/>
  <c r="I48" i="3"/>
  <c r="H48" i="3"/>
  <c r="G48" i="3"/>
  <c r="I47" i="3"/>
  <c r="H47" i="3"/>
  <c r="G47" i="3"/>
  <c r="I46" i="3"/>
  <c r="H46" i="3"/>
  <c r="G46" i="3"/>
  <c r="I45" i="3"/>
  <c r="H45" i="3"/>
  <c r="G45" i="3"/>
  <c r="I44" i="3"/>
  <c r="H44" i="3"/>
  <c r="G44" i="3"/>
  <c r="I43" i="3"/>
  <c r="H43" i="3"/>
  <c r="G43" i="3"/>
  <c r="I42" i="3"/>
  <c r="H42" i="3"/>
  <c r="G42" i="3"/>
  <c r="I41" i="3"/>
  <c r="H41" i="3"/>
  <c r="G41" i="3"/>
  <c r="I40" i="3"/>
  <c r="H40" i="3"/>
  <c r="G40" i="3"/>
  <c r="I39" i="3"/>
  <c r="H39" i="3"/>
  <c r="G39" i="3"/>
  <c r="I38" i="3"/>
  <c r="H38" i="3"/>
  <c r="G38" i="3"/>
  <c r="I37" i="3"/>
  <c r="H37" i="3"/>
  <c r="G37" i="3"/>
  <c r="I36" i="3"/>
  <c r="H36" i="3"/>
  <c r="G36" i="3"/>
  <c r="I35" i="3"/>
  <c r="H35" i="3"/>
  <c r="G35" i="3"/>
  <c r="I34" i="3"/>
  <c r="H34" i="3"/>
  <c r="G34" i="3"/>
  <c r="I33" i="3"/>
  <c r="H33" i="3"/>
  <c r="G33" i="3"/>
  <c r="I32" i="3"/>
  <c r="H32" i="3"/>
  <c r="G32" i="3"/>
  <c r="I31" i="3"/>
  <c r="H31" i="3"/>
  <c r="G31" i="3"/>
  <c r="I30" i="3"/>
  <c r="H30" i="3"/>
  <c r="G30" i="3"/>
  <c r="I29" i="3"/>
  <c r="H29" i="3"/>
  <c r="G29" i="3"/>
  <c r="I28" i="3"/>
  <c r="H28" i="3"/>
  <c r="G28" i="3"/>
  <c r="I27" i="3"/>
  <c r="H27" i="3"/>
  <c r="G27" i="3"/>
  <c r="I26" i="3"/>
  <c r="H26" i="3"/>
  <c r="G26" i="3"/>
  <c r="I25" i="3"/>
  <c r="H25" i="3"/>
  <c r="G25" i="3"/>
  <c r="I24" i="3"/>
  <c r="H24" i="3"/>
  <c r="G24" i="3"/>
  <c r="I23" i="3"/>
  <c r="H23" i="3"/>
  <c r="G23" i="3"/>
  <c r="I22" i="3"/>
  <c r="H22" i="3"/>
  <c r="G22" i="3"/>
  <c r="I21" i="3"/>
  <c r="H21" i="3"/>
  <c r="G21" i="3"/>
  <c r="I20" i="3"/>
  <c r="H20" i="3"/>
  <c r="G20" i="3"/>
  <c r="I19" i="3"/>
  <c r="H19" i="3"/>
  <c r="G19" i="3"/>
  <c r="I18" i="3"/>
  <c r="H18" i="3"/>
  <c r="G18" i="3"/>
  <c r="I17" i="3"/>
  <c r="H17" i="3"/>
  <c r="G17" i="3"/>
  <c r="I16" i="3"/>
  <c r="H16" i="3"/>
  <c r="G16" i="3"/>
  <c r="I15" i="3"/>
  <c r="H15" i="3"/>
  <c r="G15" i="3"/>
  <c r="I14" i="3"/>
  <c r="H14" i="3"/>
  <c r="G14" i="3"/>
  <c r="I13" i="3"/>
  <c r="H13" i="3"/>
  <c r="G13" i="3"/>
  <c r="I12" i="3"/>
  <c r="H12" i="3"/>
  <c r="G12" i="3"/>
  <c r="I11" i="3"/>
  <c r="H11" i="3"/>
  <c r="G11" i="3"/>
  <c r="I10" i="3"/>
  <c r="H10" i="3"/>
  <c r="G10" i="3"/>
  <c r="I9" i="3"/>
  <c r="H9" i="3"/>
  <c r="G9" i="3"/>
  <c r="I8" i="3"/>
  <c r="H8" i="3"/>
  <c r="G8" i="3"/>
  <c r="I7" i="3"/>
  <c r="H7" i="3"/>
  <c r="G7" i="3"/>
  <c r="I6" i="3"/>
  <c r="H6" i="3"/>
  <c r="G6" i="3"/>
  <c r="I5" i="3"/>
  <c r="H5" i="3"/>
  <c r="G5" i="3"/>
  <c r="I4" i="3"/>
  <c r="H4" i="3"/>
  <c r="G4" i="3"/>
  <c r="B51" i="2"/>
  <c r="H50" i="2"/>
  <c r="B50" i="2"/>
  <c r="H49" i="2"/>
  <c r="B49" i="2"/>
  <c r="H48" i="2"/>
  <c r="B48" i="2"/>
  <c r="H47" i="2"/>
  <c r="B47" i="2"/>
  <c r="M8" i="2"/>
  <c r="K8" i="2"/>
  <c r="B3" i="2"/>
  <c r="S13" i="7" l="1"/>
  <c r="R13" i="7"/>
  <c r="N13" i="7"/>
  <c r="C128" i="7"/>
  <c r="B128" i="7"/>
  <c r="D128" i="7" s="1"/>
  <c r="C127" i="7"/>
  <c r="B127" i="7"/>
  <c r="D127" i="7" s="1"/>
  <c r="C126" i="7"/>
  <c r="B126" i="7"/>
  <c r="D126" i="7" s="1"/>
  <c r="C125" i="7"/>
  <c r="B125" i="7"/>
  <c r="D125" i="7" s="1"/>
  <c r="C124" i="7"/>
  <c r="B124" i="7"/>
  <c r="D124" i="7" s="1"/>
  <c r="C123" i="7"/>
  <c r="B123" i="7"/>
  <c r="D123" i="7" s="1"/>
  <c r="C122" i="7"/>
  <c r="B122" i="7"/>
  <c r="D122" i="7" s="1"/>
  <c r="C121" i="7"/>
  <c r="B121" i="7"/>
  <c r="D121" i="7" s="1"/>
  <c r="C120" i="7"/>
  <c r="B120" i="7"/>
  <c r="D120" i="7" s="1"/>
  <c r="C119" i="7"/>
  <c r="B119" i="7"/>
  <c r="D119" i="7" s="1"/>
  <c r="C118" i="7"/>
  <c r="B118" i="7"/>
  <c r="D118" i="7" s="1"/>
  <c r="C117" i="7"/>
  <c r="B117" i="7"/>
  <c r="D117" i="7" s="1"/>
  <c r="C116" i="7"/>
  <c r="B116" i="7"/>
  <c r="D116" i="7" s="1"/>
  <c r="C115" i="7"/>
  <c r="B115" i="7"/>
  <c r="D115" i="7" s="1"/>
  <c r="C114" i="7"/>
  <c r="B114" i="7"/>
  <c r="D114" i="7" s="1"/>
  <c r="C113" i="7"/>
  <c r="B113" i="7"/>
  <c r="D113" i="7" s="1"/>
  <c r="C112" i="7"/>
  <c r="B112" i="7"/>
  <c r="D112" i="7" s="1"/>
  <c r="C111" i="7"/>
  <c r="B111" i="7"/>
  <c r="D111" i="7" s="1"/>
  <c r="C110" i="7"/>
  <c r="B110" i="7"/>
  <c r="D110" i="7" s="1"/>
  <c r="C109" i="7"/>
  <c r="B109" i="7"/>
  <c r="D109" i="7" s="1"/>
  <c r="C108" i="7"/>
  <c r="B108" i="7"/>
  <c r="D108" i="7" s="1"/>
  <c r="C107" i="7"/>
  <c r="B107" i="7"/>
  <c r="D107" i="7" s="1"/>
  <c r="C106" i="7"/>
  <c r="B106" i="7"/>
  <c r="D106" i="7" s="1"/>
  <c r="C105" i="7"/>
  <c r="B105" i="7"/>
  <c r="D105" i="7" s="1"/>
  <c r="C104" i="7"/>
  <c r="B104" i="7"/>
  <c r="D104" i="7" s="1"/>
  <c r="C103" i="7"/>
  <c r="B103" i="7"/>
  <c r="D103" i="7" s="1"/>
  <c r="C102" i="7"/>
  <c r="B102" i="7"/>
  <c r="D102" i="7" s="1"/>
  <c r="C101" i="7"/>
  <c r="B101" i="7"/>
  <c r="D101" i="7" s="1"/>
  <c r="C100" i="7"/>
  <c r="B100" i="7"/>
  <c r="D100" i="7" s="1"/>
  <c r="C99" i="7"/>
  <c r="B99" i="7"/>
  <c r="D99" i="7" s="1"/>
  <c r="C98" i="7"/>
  <c r="B98" i="7"/>
  <c r="D98" i="7" s="1"/>
  <c r="C97" i="7"/>
  <c r="B97" i="7"/>
  <c r="D97" i="7" s="1"/>
  <c r="C96" i="7"/>
  <c r="B96" i="7"/>
  <c r="D96" i="7" s="1"/>
  <c r="C95" i="7"/>
  <c r="B95" i="7"/>
  <c r="D95" i="7" s="1"/>
  <c r="C94" i="7"/>
  <c r="B94" i="7"/>
  <c r="D94" i="7" s="1"/>
  <c r="C93" i="7"/>
  <c r="B93" i="7"/>
  <c r="D93" i="7" s="1"/>
  <c r="C92" i="7"/>
  <c r="B92" i="7"/>
  <c r="D92" i="7" s="1"/>
  <c r="C91" i="7"/>
  <c r="B91" i="7"/>
  <c r="D91" i="7" s="1"/>
  <c r="C90" i="7"/>
  <c r="B90" i="7"/>
  <c r="D90" i="7" s="1"/>
  <c r="C89" i="7"/>
  <c r="B89" i="7"/>
  <c r="D89" i="7" s="1"/>
  <c r="H64" i="7"/>
  <c r="I64" i="7" s="1"/>
  <c r="G64" i="7"/>
  <c r="J64" i="7" s="1"/>
  <c r="H63" i="7"/>
  <c r="I63" i="7" s="1"/>
  <c r="G63" i="7"/>
  <c r="J63" i="7" s="1"/>
  <c r="S21" i="7"/>
  <c r="R21" i="7"/>
  <c r="N21" i="7"/>
  <c r="I21" i="7"/>
  <c r="F21" i="7"/>
  <c r="E21" i="7"/>
  <c r="D21" i="7"/>
  <c r="G21" i="7" s="1"/>
  <c r="M21" i="7" s="1"/>
  <c r="C21" i="7"/>
  <c r="T21" i="7"/>
  <c r="T20" i="7"/>
  <c r="C20" i="7"/>
  <c r="D20" i="7"/>
  <c r="G20" i="7" s="1"/>
  <c r="M20" i="7" s="1"/>
  <c r="E20" i="7"/>
  <c r="F20" i="7"/>
  <c r="I20" i="7"/>
  <c r="N20" i="7"/>
  <c r="R20" i="7"/>
  <c r="S20" i="7"/>
  <c r="R19" i="7"/>
  <c r="N19" i="7"/>
  <c r="I19" i="7"/>
  <c r="F19" i="7"/>
  <c r="E19" i="7"/>
  <c r="D19" i="7"/>
  <c r="G19" i="7" s="1"/>
  <c r="M19" i="7" s="1"/>
  <c r="C19" i="7"/>
  <c r="T19" i="7"/>
  <c r="S19" i="7"/>
  <c r="R18" i="7"/>
  <c r="N18" i="7"/>
  <c r="I18" i="7"/>
  <c r="F18" i="7"/>
  <c r="E18" i="7"/>
  <c r="D18" i="7"/>
  <c r="G18" i="7" s="1"/>
  <c r="M18" i="7" s="1"/>
  <c r="C18" i="7"/>
  <c r="T18" i="7"/>
  <c r="S18" i="7"/>
  <c r="T17" i="7"/>
  <c r="S17" i="7"/>
  <c r="R17" i="7"/>
  <c r="N17" i="7"/>
  <c r="I17" i="7"/>
  <c r="F17" i="7"/>
  <c r="E17" i="7"/>
  <c r="D17" i="7"/>
  <c r="G17" i="7" s="1"/>
  <c r="M17" i="7" s="1"/>
  <c r="C17" i="7"/>
  <c r="S16" i="7"/>
  <c r="R16" i="7"/>
  <c r="N16" i="7"/>
  <c r="F16" i="7"/>
  <c r="E16" i="7"/>
  <c r="D16" i="7"/>
  <c r="G16" i="7" s="1"/>
  <c r="M16" i="7" s="1"/>
  <c r="I16" i="7"/>
  <c r="T16" i="7"/>
  <c r="C16" i="7"/>
  <c r="R15" i="7"/>
  <c r="N15" i="7"/>
  <c r="I15" i="7"/>
  <c r="F15" i="7"/>
  <c r="E15" i="7"/>
  <c r="D15" i="7"/>
  <c r="G15" i="7" s="1"/>
  <c r="M15" i="7" s="1"/>
  <c r="C15" i="7"/>
  <c r="T15" i="7"/>
  <c r="S15" i="7"/>
  <c r="T14" i="7"/>
  <c r="S14" i="7"/>
  <c r="R14" i="7"/>
  <c r="C14" i="7"/>
  <c r="N14" i="7"/>
  <c r="I14" i="7"/>
  <c r="F14" i="7"/>
  <c r="E14" i="7"/>
  <c r="D14" i="7"/>
  <c r="G14" i="7" s="1"/>
  <c r="M14" i="7" s="1"/>
  <c r="D13" i="7"/>
  <c r="G13" i="7" s="1"/>
  <c r="M13" i="7" s="1"/>
  <c r="C13" i="7"/>
  <c r="F13" i="7"/>
  <c r="E13" i="7"/>
  <c r="E12" i="7"/>
  <c r="D12" i="7"/>
  <c r="G12" i="7" s="1"/>
  <c r="M12" i="7" s="1"/>
  <c r="C12" i="7"/>
  <c r="T12" i="7"/>
  <c r="S12" i="7"/>
  <c r="R12" i="7"/>
  <c r="N12" i="7"/>
  <c r="I12" i="7"/>
  <c r="F12" i="7"/>
  <c r="T11" i="7"/>
  <c r="S11" i="7"/>
  <c r="R11" i="7"/>
  <c r="N11" i="7"/>
  <c r="I11" i="7"/>
  <c r="F11" i="7"/>
  <c r="E11" i="7"/>
  <c r="D11" i="7"/>
  <c r="G11" i="7" s="1"/>
  <c r="M11" i="7" s="1"/>
  <c r="C11" i="7"/>
  <c r="T10" i="7"/>
  <c r="S10" i="7"/>
  <c r="R10" i="7"/>
  <c r="N10" i="7"/>
  <c r="I10" i="7"/>
  <c r="F10" i="7"/>
  <c r="E10" i="7"/>
  <c r="D10" i="7"/>
  <c r="G10" i="7" s="1"/>
  <c r="M10" i="7" s="1"/>
  <c r="C10" i="7"/>
  <c r="B4" i="7" s="1"/>
  <c r="I13" i="7"/>
  <c r="T13" i="7"/>
  <c r="J21" i="7" l="1"/>
  <c r="K21" i="7"/>
  <c r="P21" i="7"/>
  <c r="U21" i="7"/>
  <c r="P20" i="7"/>
  <c r="U20" i="7"/>
  <c r="J20" i="7"/>
  <c r="K20" i="7"/>
  <c r="J19" i="7"/>
  <c r="K19" i="7"/>
  <c r="P19" i="7"/>
  <c r="U19" i="7"/>
  <c r="J18" i="7"/>
  <c r="K18" i="7"/>
  <c r="B34" i="7" s="1"/>
  <c r="P18" i="7"/>
  <c r="U18" i="7"/>
  <c r="B39" i="7" s="1"/>
  <c r="J17" i="7"/>
  <c r="K17" i="7"/>
  <c r="P17" i="7"/>
  <c r="U17" i="7"/>
  <c r="B40" i="7" s="1"/>
  <c r="J16" i="7"/>
  <c r="K16" i="7"/>
  <c r="P16" i="7"/>
  <c r="U16" i="7"/>
  <c r="J15" i="7"/>
  <c r="K15" i="7"/>
  <c r="P15" i="7"/>
  <c r="U15" i="7"/>
  <c r="J14" i="7"/>
  <c r="K14" i="7"/>
  <c r="P14" i="7"/>
  <c r="U14" i="7"/>
  <c r="J13" i="7"/>
  <c r="K13" i="7"/>
  <c r="P13" i="7"/>
  <c r="U13" i="7"/>
  <c r="U12" i="7"/>
  <c r="J12" i="7"/>
  <c r="P12" i="7" s="1"/>
  <c r="K12" i="7"/>
  <c r="J11" i="7"/>
  <c r="K11" i="7"/>
  <c r="P11" i="7"/>
  <c r="U11" i="7"/>
  <c r="J10" i="7"/>
  <c r="K10" i="7"/>
  <c r="P10" i="7"/>
  <c r="U10" i="7"/>
  <c r="B5" i="7"/>
  <c r="B25" i="7"/>
  <c r="B7" i="2" s="1"/>
  <c r="B26" i="7"/>
  <c r="E25" i="7" s="1"/>
  <c r="B27" i="7"/>
  <c r="E26" i="7" s="1"/>
  <c r="C9" i="2" s="1"/>
  <c r="B28" i="7"/>
  <c r="B29" i="7"/>
  <c r="B30" i="7"/>
  <c r="B36" i="7"/>
  <c r="B37" i="7"/>
  <c r="B38" i="7"/>
  <c r="B31" i="7" l="1"/>
  <c r="B32" i="7" s="1"/>
  <c r="E27" i="7"/>
  <c r="B35" i="7"/>
  <c r="H7" i="2" s="1"/>
  <c r="E37" i="7"/>
  <c r="M9" i="2"/>
  <c r="L7" i="2"/>
  <c r="B51" i="7"/>
  <c r="B55" i="7"/>
  <c r="H59" i="7"/>
  <c r="G60" i="7"/>
  <c r="B61" i="7"/>
  <c r="H62" i="7"/>
  <c r="B63" i="7"/>
  <c r="B64" i="7"/>
  <c r="B65" i="7"/>
  <c r="B66" i="7"/>
  <c r="B72" i="7"/>
  <c r="B49" i="7"/>
  <c r="B50" i="7"/>
  <c r="B52" i="7"/>
  <c r="B53" i="7"/>
  <c r="B54" i="7"/>
  <c r="B56" i="7"/>
  <c r="B57" i="7"/>
  <c r="B58" i="7"/>
  <c r="B59" i="7"/>
  <c r="G59" i="7"/>
  <c r="B60" i="7"/>
  <c r="H60" i="7"/>
  <c r="I60" i="7" s="1"/>
  <c r="K48" i="2" s="1"/>
  <c r="H61" i="7"/>
  <c r="I61" i="7" s="1"/>
  <c r="K49" i="2" s="1"/>
  <c r="G61" i="7"/>
  <c r="B62" i="7"/>
  <c r="G6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67" i="7"/>
  <c r="C8" i="2"/>
  <c r="E32" i="7"/>
  <c r="B10" i="2" s="1"/>
  <c r="D7" i="2"/>
  <c r="E28" i="7"/>
  <c r="E9" i="2" s="1"/>
  <c r="B33" i="7"/>
  <c r="E31" i="7"/>
  <c r="I8" i="2"/>
  <c r="E36" i="7"/>
  <c r="K9" i="2"/>
  <c r="J7" i="2"/>
  <c r="E8" i="2" l="1"/>
  <c r="E33" i="7"/>
  <c r="A71" i="7"/>
  <c r="B58" i="2"/>
  <c r="L10" i="2"/>
  <c r="C51" i="7"/>
  <c r="D51" i="7"/>
  <c r="C55" i="7"/>
  <c r="D55" i="7"/>
  <c r="J48" i="2"/>
  <c r="J60" i="7"/>
  <c r="L48" i="2" s="1"/>
  <c r="C61" i="7"/>
  <c r="D61" i="7"/>
  <c r="C63" i="7"/>
  <c r="D63" i="7"/>
  <c r="C64" i="7"/>
  <c r="D64" i="7"/>
  <c r="C65" i="7"/>
  <c r="D65" i="7"/>
  <c r="C66" i="7"/>
  <c r="D66" i="7"/>
  <c r="C72" i="7"/>
  <c r="D72" i="7"/>
  <c r="C49" i="7"/>
  <c r="D49" i="7"/>
  <c r="C50" i="7"/>
  <c r="D50" i="7"/>
  <c r="C52" i="7"/>
  <c r="D52" i="7"/>
  <c r="C53" i="7"/>
  <c r="D53" i="7"/>
  <c r="C54" i="7"/>
  <c r="D54" i="7"/>
  <c r="C56" i="7"/>
  <c r="D56" i="7"/>
  <c r="C57" i="7"/>
  <c r="D57" i="7"/>
  <c r="C58" i="7"/>
  <c r="D58" i="7"/>
  <c r="C59" i="7"/>
  <c r="D59" i="7"/>
  <c r="J47" i="2"/>
  <c r="J59" i="7"/>
  <c r="L47" i="2" s="1"/>
  <c r="C60" i="7"/>
  <c r="D60" i="7"/>
  <c r="J49" i="2"/>
  <c r="J61" i="7"/>
  <c r="L49" i="2" s="1"/>
  <c r="C62" i="7"/>
  <c r="D62" i="7"/>
  <c r="J50" i="2"/>
  <c r="J62" i="7"/>
  <c r="L50" i="2" s="1"/>
  <c r="C73" i="7"/>
  <c r="D73" i="7"/>
  <c r="C74" i="7"/>
  <c r="D74" i="7"/>
  <c r="C75" i="7"/>
  <c r="D75" i="7"/>
  <c r="C76" i="7"/>
  <c r="D76" i="7"/>
  <c r="C77" i="7"/>
  <c r="D77" i="7"/>
  <c r="C78" i="7"/>
  <c r="D78" i="7"/>
  <c r="C79" i="7"/>
  <c r="D79" i="7"/>
  <c r="C80" i="7"/>
  <c r="D80" i="7"/>
  <c r="C81" i="7"/>
  <c r="D81" i="7"/>
  <c r="C82" i="7"/>
  <c r="D82" i="7"/>
  <c r="C83" i="7"/>
  <c r="D83" i="7"/>
  <c r="C84" i="7"/>
  <c r="D84" i="7"/>
  <c r="C85" i="7"/>
  <c r="D85" i="7"/>
  <c r="C86" i="7"/>
  <c r="D86" i="7"/>
  <c r="C87" i="7"/>
  <c r="D87" i="7"/>
  <c r="C88" i="7"/>
  <c r="D88" i="7"/>
  <c r="C67" i="7"/>
  <c r="D67" i="7"/>
  <c r="F7" i="2"/>
  <c r="E29" i="7"/>
  <c r="E30" i="7"/>
  <c r="G9" i="2" s="1"/>
  <c r="A68" i="7"/>
  <c r="B55" i="2"/>
  <c r="D10" i="2"/>
  <c r="E35" i="7"/>
  <c r="H10" i="2" s="1"/>
  <c r="I9" i="2"/>
  <c r="A70" i="7"/>
  <c r="B57" i="2"/>
  <c r="J10" i="2"/>
  <c r="I62" i="7"/>
  <c r="K50" i="2" s="1"/>
  <c r="I59" i="7"/>
  <c r="K47" i="2" s="1"/>
  <c r="B71" i="7" l="1"/>
  <c r="C58" i="2"/>
  <c r="E34" i="7"/>
  <c r="G8" i="2"/>
  <c r="B68" i="7"/>
  <c r="C55" i="2"/>
  <c r="B70" i="7"/>
  <c r="C57" i="2"/>
  <c r="A69" i="7" l="1"/>
  <c r="F10" i="2"/>
  <c r="B56" i="2"/>
  <c r="D71" i="7"/>
  <c r="C71" i="7"/>
  <c r="D68" i="7"/>
  <c r="C68" i="7"/>
  <c r="D70" i="7"/>
  <c r="C70" i="7"/>
  <c r="B69" i="7" l="1"/>
  <c r="C56" i="2"/>
  <c r="D69" i="7" l="1"/>
  <c r="C69" i="7"/>
  <c r="G53" i="7" l="1"/>
  <c r="G52" i="7"/>
  <c r="G51" i="7"/>
  <c r="G49" i="7"/>
  <c r="G50" i="7"/>
  <c r="H53" i="7" l="1"/>
  <c r="C51" i="2"/>
  <c r="H52" i="7"/>
  <c r="C50" i="2"/>
  <c r="H51" i="7"/>
  <c r="C49" i="2"/>
  <c r="H49" i="7"/>
  <c r="C47" i="2"/>
  <c r="H50" i="7"/>
  <c r="C48" i="2"/>
  <c r="J53" i="7" l="1"/>
  <c r="G51" i="2" s="1"/>
  <c r="I53" i="7"/>
  <c r="F51" i="2" s="1"/>
  <c r="E51" i="2"/>
  <c r="J52" i="7"/>
  <c r="G50" i="2" s="1"/>
  <c r="I52" i="7"/>
  <c r="F50" i="2" s="1"/>
  <c r="E50" i="2"/>
  <c r="J51" i="7"/>
  <c r="G49" i="2" s="1"/>
  <c r="I51" i="7"/>
  <c r="F49" i="2" s="1"/>
  <c r="E49" i="2"/>
  <c r="J49" i="7"/>
  <c r="I49" i="7"/>
  <c r="F47" i="2" s="1"/>
  <c r="E47" i="2"/>
  <c r="J50" i="7"/>
  <c r="G48" i="2" s="1"/>
  <c r="I50" i="7"/>
  <c r="F48" i="2" s="1"/>
  <c r="E48" i="2"/>
  <c r="J55" i="7" l="1"/>
  <c r="B52" i="2" s="1"/>
  <c r="G47" i="2"/>
</calcChain>
</file>

<file path=xl/sharedStrings.xml><?xml version="1.0" encoding="utf-8"?>
<sst xmlns="http://schemas.openxmlformats.org/spreadsheetml/2006/main" count="3046" uniqueCount="1159">
  <si>
    <t>KAVDAL</t>
  </si>
  <si>
    <t>Tableaux de bord et automatisation pour les PME</t>
  </si>
  <si>
    <t>Vos chiffres à jour chaque matin, sans fichier à remplir</t>
  </si>
  <si>
    <t>Ce modèle gratuit montre ce qu’un tableau de bord de PME doit contenir. KAVDAL construit la version automatique : branchée sur votre comptabilité, votre facturation et votre banque, elle se met à jour toute seule.</t>
  </si>
  <si>
    <t>Branché sur vos logiciels</t>
  </si>
  <si>
    <t>À jour chaque matin</t>
  </si>
  <si>
    <t>Tout vous appartient</t>
  </si>
  <si>
    <t>Comptabilité, facturation, CRM, banque : vos chiffres arrivent seuls, sans copier-coller.</t>
  </si>
  <si>
    <t>Marge, trésorerie, délais de paiement : les chiffres du jour, avec des alertes quand un indicateur dérape.</t>
  </si>
  <si>
    <t>Prix affichés avant de commencer. Le tableau de bord, les accès et la documentation restent à vous.</t>
  </si>
  <si>
    <t>Découvrir l’offre tableaux de bord  →</t>
  </si>
  <si>
    <t>Voir l’exemple de tableau de bord  →</t>
  </si>
  <si>
    <t>Ou réservez directement un appel gratuit de 20 minutes : cal.com/kavdal/appel-20-min</t>
  </si>
  <si>
    <t>Modèle gratuit, libre d’usage dans votre entreprise. Les chiffres de l’exemple sont fictifs : remplacez-les par les vôtres en suivant l’onglet Notice. Les onglets bleus contiennent vos données, le tableau de bord se met à jour tout seul.</t>
  </si>
  <si>
    <t>Tableau de bord de gestion</t>
  </si>
  <si>
    <t>← Accueil et offre KAVDAL</t>
  </si>
  <si>
    <t>Mois :</t>
  </si>
  <si>
    <t>sept. 2026</t>
  </si>
  <si>
    <t>← choisissez le mois dans la liste</t>
  </si>
  <si>
    <t>Exemple sur DONNÉES FICTIVES : remplacez-les par les vôtres (onglet Notice).</t>
  </si>
  <si>
    <t>Chiffre d’affaires du mois</t>
  </si>
  <si>
    <t>CA cumulé de l’exercice</t>
  </si>
  <si>
    <t>Taux de marge brute (cumul)</t>
  </si>
  <si>
    <t>EBE estimé (cumul)</t>
  </si>
  <si>
    <t>Trésorerie fin de mois</t>
  </si>
  <si>
    <t>Délai de paiement clients</t>
  </si>
  <si>
    <t>vs budget</t>
  </si>
  <si>
    <t>vs objectif</t>
  </si>
  <si>
    <t>budget</t>
  </si>
  <si>
    <t>seuil</t>
  </si>
  <si>
    <t>objectif</t>
  </si>
  <si>
    <t>vs N-1</t>
  </si>
  <si>
    <t>écart</t>
  </si>
  <si>
    <t>sur 1 mois</t>
  </si>
  <si>
    <t>Statuts : OK = objectif atteint ; À surveiller = écart dans la tolérance ; Alerte = écart au-delà de la tolérance (réglages dans l’onglet Objectifs).</t>
  </si>
  <si>
    <t>Les 5 premiers clients (cumul de l’exercice)</t>
  </si>
  <si>
    <t>Chiffre d’affaires par famille (cumul)</t>
  </si>
  <si>
    <t>#</t>
  </si>
  <si>
    <t>Client</t>
  </si>
  <si>
    <t>CA cumulé</t>
  </si>
  <si>
    <t>Marge</t>
  </si>
  <si>
    <t>Part du CA</t>
  </si>
  <si>
    <t>Famille</t>
  </si>
  <si>
    <t>Taux de marge</t>
  </si>
  <si>
    <t>Points d’attention du mois</t>
  </si>
  <si>
    <t>Modèle gratuit proposé par KAVDAL (kavdal.com), libre d’usage dans votre entreprise. Les chiffres de cet exemple sont fictifs. Quand la mise à jour à la main devient trop lourde, un tableau de bord automatisé branché sur vos logiciels prend le relais.</t>
  </si>
  <si>
    <t>https://kavdal.com/fr/tableaux-de-bord/</t>
  </si>
  <si>
    <t>DONNÉES FICTIVES. Collez ici l’export de votre logiciel de facturation (une ligne par facture ou par ligne de facture), colonnes A à F. Les colonnes G à I se calculent toutes seules. Voir l’onglet Notice.</t>
  </si>
  <si>
    <t>Date facture</t>
  </si>
  <si>
    <t>N° facture</t>
  </si>
  <si>
    <t>CA HT</t>
  </si>
  <si>
    <t>Coût achat HT</t>
  </si>
  <si>
    <t>Marge brute</t>
  </si>
  <si>
    <t>Mois</t>
  </si>
  <si>
    <t>Année</t>
  </si>
  <si>
    <t>F2025-00023</t>
  </si>
  <si>
    <t>Client 01</t>
  </si>
  <si>
    <t>Outillage</t>
  </si>
  <si>
    <t>F2025-00031</t>
  </si>
  <si>
    <t>Services</t>
  </si>
  <si>
    <t>F2025-00034</t>
  </si>
  <si>
    <t>Client 19</t>
  </si>
  <si>
    <t>F2025-00006</t>
  </si>
  <si>
    <t>Client 09</t>
  </si>
  <si>
    <t>Matériaux</t>
  </si>
  <si>
    <t>F2025-00010</t>
  </si>
  <si>
    <t>Client 05</t>
  </si>
  <si>
    <t>F2025-00017</t>
  </si>
  <si>
    <t>Client 12</t>
  </si>
  <si>
    <t>F2025-00029</t>
  </si>
  <si>
    <t>Client 37</t>
  </si>
  <si>
    <t>Consommables</t>
  </si>
  <si>
    <t>F2025-00003</t>
  </si>
  <si>
    <t>Client 04</t>
  </si>
  <si>
    <t>F2025-00020</t>
  </si>
  <si>
    <t>F2025-00026</t>
  </si>
  <si>
    <t>Client 06</t>
  </si>
  <si>
    <t>F2025-00004</t>
  </si>
  <si>
    <t>Client 22</t>
  </si>
  <si>
    <t>F2025-00022</t>
  </si>
  <si>
    <t>Client 02</t>
  </si>
  <si>
    <t>F2025-00001</t>
  </si>
  <si>
    <t>F2025-00007</t>
  </si>
  <si>
    <t>F2025-00027</t>
  </si>
  <si>
    <t>Client 15</t>
  </si>
  <si>
    <t>F2025-00002</t>
  </si>
  <si>
    <t>F2025-00011</t>
  </si>
  <si>
    <t>Client 27</t>
  </si>
  <si>
    <t>F2025-00013</t>
  </si>
  <si>
    <t>F2025-00015</t>
  </si>
  <si>
    <t>Client 08</t>
  </si>
  <si>
    <t>F2025-00018</t>
  </si>
  <si>
    <t>Client 16</t>
  </si>
  <si>
    <t>F2025-00030</t>
  </si>
  <si>
    <t>Client 34</t>
  </si>
  <si>
    <t>F2025-00005</t>
  </si>
  <si>
    <t>Client 13</t>
  </si>
  <si>
    <t>F2025-00028</t>
  </si>
  <si>
    <t>F2025-00019</t>
  </si>
  <si>
    <t>F2025-00032</t>
  </si>
  <si>
    <t>Client 33</t>
  </si>
  <si>
    <t>F2025-00016</t>
  </si>
  <si>
    <t>F2025-00025</t>
  </si>
  <si>
    <t>Client 31</t>
  </si>
  <si>
    <t>F2025-00008</t>
  </si>
  <si>
    <t>Client 10</t>
  </si>
  <si>
    <t>F2025-00009</t>
  </si>
  <si>
    <t>F2025-00021</t>
  </si>
  <si>
    <t>Client 07</t>
  </si>
  <si>
    <t>F2025-00012</t>
  </si>
  <si>
    <t>F2025-00033</t>
  </si>
  <si>
    <t>F2025-00024</t>
  </si>
  <si>
    <t>F2025-00014</t>
  </si>
  <si>
    <t>F2025-00050</t>
  </si>
  <si>
    <t>F2025-00076</t>
  </si>
  <si>
    <t>Client 03</t>
  </si>
  <si>
    <t>F2025-00046</t>
  </si>
  <si>
    <t>F2025-00047</t>
  </si>
  <si>
    <t>F2025-00048</t>
  </si>
  <si>
    <t>F2025-00068</t>
  </si>
  <si>
    <t>F2025-00072</t>
  </si>
  <si>
    <t>Client 32</t>
  </si>
  <si>
    <t>F2025-00056</t>
  </si>
  <si>
    <t>Client 28</t>
  </si>
  <si>
    <t>F2025-00037</t>
  </si>
  <si>
    <t>F2025-00061</t>
  </si>
  <si>
    <t>F2025-00069</t>
  </si>
  <si>
    <t>F2025-00043</t>
  </si>
  <si>
    <t>Client 11</t>
  </si>
  <si>
    <t>F2025-00052</t>
  </si>
  <si>
    <t>F2025-00064</t>
  </si>
  <si>
    <t>F2025-00049</t>
  </si>
  <si>
    <t>F2025-00073</t>
  </si>
  <si>
    <t>F2025-00066</t>
  </si>
  <si>
    <t>F2025-00074</t>
  </si>
  <si>
    <t>F2025-00063</t>
  </si>
  <si>
    <t>F2025-00065</t>
  </si>
  <si>
    <t>F2025-00041</t>
  </si>
  <si>
    <t>F2025-00059</t>
  </si>
  <si>
    <t>Client 25</t>
  </si>
  <si>
    <t>F2025-00075</t>
  </si>
  <si>
    <t>F2025-00053</t>
  </si>
  <si>
    <t>F2025-00035</t>
  </si>
  <si>
    <t>F2025-00057</t>
  </si>
  <si>
    <t>F2025-00042</t>
  </si>
  <si>
    <t>F2025-00040</t>
  </si>
  <si>
    <t>F2025-00054</t>
  </si>
  <si>
    <t>F2025-00044</t>
  </si>
  <si>
    <t>F2025-00071</t>
  </si>
  <si>
    <t>F2025-00045</t>
  </si>
  <si>
    <t>F2025-00060</t>
  </si>
  <si>
    <t>F2025-00077</t>
  </si>
  <si>
    <t>Client 36</t>
  </si>
  <si>
    <t>F2025-00039</t>
  </si>
  <si>
    <t>F2025-00062</t>
  </si>
  <si>
    <t>F2025-00067</t>
  </si>
  <si>
    <t>F2025-00036</t>
  </si>
  <si>
    <t>F2025-00051</t>
  </si>
  <si>
    <t>Client 29</t>
  </si>
  <si>
    <t>F2025-00038</t>
  </si>
  <si>
    <t>F2025-00055</t>
  </si>
  <si>
    <t>F2025-00058</t>
  </si>
  <si>
    <t>Client 14</t>
  </si>
  <si>
    <t>F2025-00070</t>
  </si>
  <si>
    <t>F2025-00083</t>
  </si>
  <si>
    <t>F2025-00118</t>
  </si>
  <si>
    <t>Client 23</t>
  </si>
  <si>
    <t>F2025-00101</t>
  </si>
  <si>
    <t>F2025-00080</t>
  </si>
  <si>
    <t>F2025-00096</t>
  </si>
  <si>
    <t>F2025-00124</t>
  </si>
  <si>
    <t>F2025-00099</t>
  </si>
  <si>
    <t>F2025-00104</t>
  </si>
  <si>
    <t>Client 30</t>
  </si>
  <si>
    <t>F2025-00110</t>
  </si>
  <si>
    <t>Client 17</t>
  </si>
  <si>
    <t>F2025-00106</t>
  </si>
  <si>
    <t>Client 38</t>
  </si>
  <si>
    <t>F2025-00119</t>
  </si>
  <si>
    <t>F2025-00095</t>
  </si>
  <si>
    <t>F2025-00105</t>
  </si>
  <si>
    <t>F2025-00114</t>
  </si>
  <si>
    <t>F2025-00082</t>
  </si>
  <si>
    <t>F2025-00092</t>
  </si>
  <si>
    <t>F2025-00102</t>
  </si>
  <si>
    <t>F2025-00111</t>
  </si>
  <si>
    <t>F2025-00112</t>
  </si>
  <si>
    <t>F2025-00120</t>
  </si>
  <si>
    <t>F2025-00121</t>
  </si>
  <si>
    <t>F2025-00097</t>
  </si>
  <si>
    <t>F2025-00122</t>
  </si>
  <si>
    <t>F2025-00108</t>
  </si>
  <si>
    <t>F2025-00093</t>
  </si>
  <si>
    <t>F2025-00088</t>
  </si>
  <si>
    <t>F2025-00094</t>
  </si>
  <si>
    <t>F2025-00115</t>
  </si>
  <si>
    <t>F2025-00089</t>
  </si>
  <si>
    <t>F2025-00079</t>
  </si>
  <si>
    <t>F2025-00081</t>
  </si>
  <si>
    <t>F2025-00117</t>
  </si>
  <si>
    <t>F2025-00084</t>
  </si>
  <si>
    <t>F2025-00100</t>
  </si>
  <si>
    <t>F2025-00078</t>
  </si>
  <si>
    <t>F2025-00098</t>
  </si>
  <si>
    <t>F2025-00103</t>
  </si>
  <si>
    <t>F2025-00113</t>
  </si>
  <si>
    <t>F2025-00125</t>
  </si>
  <si>
    <t>F2025-00086</t>
  </si>
  <si>
    <t>Client 18</t>
  </si>
  <si>
    <t>F2025-00109</t>
  </si>
  <si>
    <t>F2025-00091</t>
  </si>
  <si>
    <t>F2025-00085</t>
  </si>
  <si>
    <t>F2025-00087</t>
  </si>
  <si>
    <t>F2025-00116</t>
  </si>
  <si>
    <t>F2025-00123</t>
  </si>
  <si>
    <t>F2025-00126</t>
  </si>
  <si>
    <t>F2025-00090</t>
  </si>
  <si>
    <t>F2025-00107</t>
  </si>
  <si>
    <t>F2025-00133</t>
  </si>
  <si>
    <t>F2025-00158</t>
  </si>
  <si>
    <t>F2025-00168</t>
  </si>
  <si>
    <t>F2025-00172</t>
  </si>
  <si>
    <t>F2025-00134</t>
  </si>
  <si>
    <t>F2025-00157</t>
  </si>
  <si>
    <t>F2025-00139</t>
  </si>
  <si>
    <t>F2025-00143</t>
  </si>
  <si>
    <t>F2025-00161</t>
  </si>
  <si>
    <t>F2025-00162</t>
  </si>
  <si>
    <t>F2025-00166</t>
  </si>
  <si>
    <t>F2025-00129</t>
  </si>
  <si>
    <t>F2025-00130</t>
  </si>
  <si>
    <t>F2025-00146</t>
  </si>
  <si>
    <t>F2025-00155</t>
  </si>
  <si>
    <t>F2025-00147</t>
  </si>
  <si>
    <t>F2025-00128</t>
  </si>
  <si>
    <t>F2025-00135</t>
  </si>
  <si>
    <t>F2025-00137</t>
  </si>
  <si>
    <t>F2025-00167</t>
  </si>
  <si>
    <t>F2025-00144</t>
  </si>
  <si>
    <t>F2025-00148</t>
  </si>
  <si>
    <t>F2025-00170</t>
  </si>
  <si>
    <t>F2025-00136</t>
  </si>
  <si>
    <t>F2025-00140</t>
  </si>
  <si>
    <t>F2025-00132</t>
  </si>
  <si>
    <t>Client 26</t>
  </si>
  <si>
    <t>F2025-00127</t>
  </si>
  <si>
    <t>F2025-00145</t>
  </si>
  <si>
    <t>Client 39</t>
  </si>
  <si>
    <t>F2025-00152</t>
  </si>
  <si>
    <t>F2025-00156</t>
  </si>
  <si>
    <t>F2025-00159</t>
  </si>
  <si>
    <t>F2025-00138</t>
  </si>
  <si>
    <t>Client 20</t>
  </si>
  <si>
    <t>F2025-00154</t>
  </si>
  <si>
    <t>F2025-00160</t>
  </si>
  <si>
    <t>F2025-00169</t>
  </si>
  <si>
    <t>F2025-00131</t>
  </si>
  <si>
    <t>F2025-00151</t>
  </si>
  <si>
    <t>F2025-00149</t>
  </si>
  <si>
    <t>F2025-00153</t>
  </si>
  <si>
    <t>F2025-00141</t>
  </si>
  <si>
    <t>F2025-00142</t>
  </si>
  <si>
    <t>F2025-00171</t>
  </si>
  <si>
    <t>F2025-00150</t>
  </si>
  <si>
    <t>F2025-00164</t>
  </si>
  <si>
    <t>F2025-00165</t>
  </si>
  <si>
    <t>F2025-00163</t>
  </si>
  <si>
    <t>F2025-00180</t>
  </si>
  <si>
    <t>F2025-00196</t>
  </si>
  <si>
    <t>F2025-00210</t>
  </si>
  <si>
    <t>F2025-00174</t>
  </si>
  <si>
    <t>F2025-00195</t>
  </si>
  <si>
    <t>F2025-00209</t>
  </si>
  <si>
    <t>F2025-00200</t>
  </si>
  <si>
    <t>F2025-00182</t>
  </si>
  <si>
    <t>F2025-00208</t>
  </si>
  <si>
    <t>F2025-00173</t>
  </si>
  <si>
    <t>F2025-00202</t>
  </si>
  <si>
    <t>F2025-00207</t>
  </si>
  <si>
    <t>F2025-00183</t>
  </si>
  <si>
    <t>F2025-00179</t>
  </si>
  <si>
    <t>F2025-00181</t>
  </si>
  <si>
    <t>F2025-00186</t>
  </si>
  <si>
    <t>F2025-00194</t>
  </si>
  <si>
    <t>F2025-00198</t>
  </si>
  <si>
    <t>F2025-00206</t>
  </si>
  <si>
    <t>F2025-00197</t>
  </si>
  <si>
    <t>F2025-00177</t>
  </si>
  <si>
    <t>F2025-00205</t>
  </si>
  <si>
    <t>F2025-00187</t>
  </si>
  <si>
    <t>F2025-00191</t>
  </si>
  <si>
    <t>F2025-00203</t>
  </si>
  <si>
    <t>Client 21</t>
  </si>
  <si>
    <t>F2025-00212</t>
  </si>
  <si>
    <t>F2025-00201</t>
  </si>
  <si>
    <t>F2025-00216</t>
  </si>
  <si>
    <t>F2025-00188</t>
  </si>
  <si>
    <t>F2025-00219</t>
  </si>
  <si>
    <t>F2025-00221</t>
  </si>
  <si>
    <t>F2025-00190</t>
  </si>
  <si>
    <t>F2025-00184</t>
  </si>
  <si>
    <t>F2025-00193</t>
  </si>
  <si>
    <t>F2025-00199</t>
  </si>
  <si>
    <t>F2025-00176</t>
  </si>
  <si>
    <t>F2025-00178</t>
  </si>
  <si>
    <t>F2025-00192</t>
  </si>
  <si>
    <t>F2025-00214</t>
  </si>
  <si>
    <t>F2025-00217</t>
  </si>
  <si>
    <t>F2025-00175</t>
  </si>
  <si>
    <t>F2025-00185</t>
  </si>
  <si>
    <t>F2025-00213</t>
  </si>
  <si>
    <t>F2025-00218</t>
  </si>
  <si>
    <t>F2025-00211</t>
  </si>
  <si>
    <t>F2025-00189</t>
  </si>
  <si>
    <t>F2025-00220</t>
  </si>
  <si>
    <t>F2025-00204</t>
  </si>
  <si>
    <t>F2025-00215</t>
  </si>
  <si>
    <t>F2025-00232</t>
  </si>
  <si>
    <t>F2025-00267</t>
  </si>
  <si>
    <t>F2025-00250</t>
  </si>
  <si>
    <t>F2025-00264</t>
  </si>
  <si>
    <t>F2025-00222</t>
  </si>
  <si>
    <t>F2025-00239</t>
  </si>
  <si>
    <t>F2025-00229</t>
  </si>
  <si>
    <t>F2025-00262</t>
  </si>
  <si>
    <t>F2025-00228</t>
  </si>
  <si>
    <t>F2025-00238</t>
  </si>
  <si>
    <t>F2025-00231</t>
  </si>
  <si>
    <t>F2025-00247</t>
  </si>
  <si>
    <t>F2025-00251</t>
  </si>
  <si>
    <t>F2025-00254</t>
  </si>
  <si>
    <t>F2025-00226</t>
  </si>
  <si>
    <t>F2025-00244</t>
  </si>
  <si>
    <t>F2025-00268</t>
  </si>
  <si>
    <t>F2025-00259</t>
  </si>
  <si>
    <t>F2025-00243</t>
  </si>
  <si>
    <t>F2025-00245</t>
  </si>
  <si>
    <t>F2025-00248</t>
  </si>
  <si>
    <t>F2025-00263</t>
  </si>
  <si>
    <t>F2025-00258</t>
  </si>
  <si>
    <t>F2025-00266</t>
  </si>
  <si>
    <t>F2025-00240</t>
  </si>
  <si>
    <t>F2025-00249</t>
  </si>
  <si>
    <t>F2025-00223</t>
  </si>
  <si>
    <t>F2025-00225</t>
  </si>
  <si>
    <t>F2025-00236</t>
  </si>
  <si>
    <t>F2025-00257</t>
  </si>
  <si>
    <t>F2025-00265</t>
  </si>
  <si>
    <t>Client 40</t>
  </si>
  <si>
    <t>F2025-00246</t>
  </si>
  <si>
    <t>F2025-00260</t>
  </si>
  <si>
    <t>F2025-00230</t>
  </si>
  <si>
    <t>F2025-00252</t>
  </si>
  <si>
    <t>F2025-00235</t>
  </si>
  <si>
    <t>Client 35</t>
  </si>
  <si>
    <t>F2025-00237</t>
  </si>
  <si>
    <t>F2025-00253</t>
  </si>
  <si>
    <t>F2025-00234</t>
  </si>
  <si>
    <t>F2025-00233</t>
  </si>
  <si>
    <t>F2025-00242</t>
  </si>
  <si>
    <t>F2025-00227</t>
  </si>
  <si>
    <t>F2025-00261</t>
  </si>
  <si>
    <t>F2025-00224</t>
  </si>
  <si>
    <t>F2025-00241</t>
  </si>
  <si>
    <t>F2025-00255</t>
  </si>
  <si>
    <t>F2025-00256</t>
  </si>
  <si>
    <t>F2025-00271</t>
  </si>
  <si>
    <t>F2025-00297</t>
  </si>
  <si>
    <t>F2025-00301</t>
  </si>
  <si>
    <t>F2025-00269</t>
  </si>
  <si>
    <t>F2025-00272</t>
  </si>
  <si>
    <t>F2025-00303</t>
  </si>
  <si>
    <t>F2025-00304</t>
  </si>
  <si>
    <t>F2025-00274</t>
  </si>
  <si>
    <t>F2025-00282</t>
  </si>
  <si>
    <t>F2025-00273</t>
  </si>
  <si>
    <t>F2025-00277</t>
  </si>
  <si>
    <t>F2025-00281</t>
  </si>
  <si>
    <t>F2025-00285</t>
  </si>
  <si>
    <t>F2025-00294</t>
  </si>
  <si>
    <t>F2025-00284</t>
  </si>
  <si>
    <t>F2025-00308</t>
  </si>
  <si>
    <t>F2025-00290</t>
  </si>
  <si>
    <t>F2025-00293</t>
  </si>
  <si>
    <t>F2025-00306</t>
  </si>
  <si>
    <t>F2025-00288</t>
  </si>
  <si>
    <t>F2025-00278</t>
  </si>
  <si>
    <t>F2025-00295</t>
  </si>
  <si>
    <t>F2025-00302</t>
  </si>
  <si>
    <t>F2025-00307</t>
  </si>
  <si>
    <t>F2025-00270</t>
  </si>
  <si>
    <t>F2025-00283</t>
  </si>
  <si>
    <t>F2025-00292</t>
  </si>
  <si>
    <t>F2025-00275</t>
  </si>
  <si>
    <t>F2025-00289</t>
  </si>
  <si>
    <t>F2025-00299</t>
  </si>
  <si>
    <t>F2025-00300</t>
  </si>
  <si>
    <t>F2025-00298</t>
  </si>
  <si>
    <t>F2025-00286</t>
  </si>
  <si>
    <t>F2025-00279</t>
  </si>
  <si>
    <t>F2025-00291</t>
  </si>
  <si>
    <t>F2025-00305</t>
  </si>
  <si>
    <t>F2025-00276</t>
  </si>
  <si>
    <t>F2025-00287</t>
  </si>
  <si>
    <t>F2025-00280</t>
  </si>
  <si>
    <t>F2025-00296</t>
  </si>
  <si>
    <t>F2025-00315</t>
  </si>
  <si>
    <t>F2025-00324</t>
  </si>
  <si>
    <t>F2025-00330</t>
  </si>
  <si>
    <t>F2025-00318</t>
  </si>
  <si>
    <t>Client 24</t>
  </si>
  <si>
    <t>F2025-00319</t>
  </si>
  <si>
    <t>F2025-00321</t>
  </si>
  <si>
    <t>F2025-00311</t>
  </si>
  <si>
    <t>F2025-00313</t>
  </si>
  <si>
    <t>F2025-00326</t>
  </si>
  <si>
    <t>F2025-00316</t>
  </si>
  <si>
    <t>F2025-00317</t>
  </si>
  <si>
    <t>F2025-00323</t>
  </si>
  <si>
    <t>F2025-00328</t>
  </si>
  <si>
    <t>F2025-00331</t>
  </si>
  <si>
    <t>F2025-00332</t>
  </si>
  <si>
    <t>F2025-00314</t>
  </si>
  <si>
    <t>F2025-00320</t>
  </si>
  <si>
    <t>F2025-00333</t>
  </si>
  <si>
    <t>F2025-00322</t>
  </si>
  <si>
    <t>F2025-00327</t>
  </si>
  <si>
    <t>F2025-00312</t>
  </si>
  <si>
    <t>F2025-00329</t>
  </si>
  <si>
    <t>F2025-00310</t>
  </si>
  <si>
    <t>F2025-00309</t>
  </si>
  <si>
    <t>F2025-00325</t>
  </si>
  <si>
    <t>F2025-00368</t>
  </si>
  <si>
    <t>F2025-00376</t>
  </si>
  <si>
    <t>F2025-00379</t>
  </si>
  <si>
    <t>F2025-00334</t>
  </si>
  <si>
    <t>F2025-00370</t>
  </si>
  <si>
    <t>F2025-00372</t>
  </si>
  <si>
    <t>F2025-00373</t>
  </si>
  <si>
    <t>F2025-00346</t>
  </si>
  <si>
    <t>F2025-00352</t>
  </si>
  <si>
    <t>F2025-00355</t>
  </si>
  <si>
    <t>F2025-00357</t>
  </si>
  <si>
    <t>F2025-00365</t>
  </si>
  <si>
    <t>F2025-00336</t>
  </si>
  <si>
    <t>F2025-00358</t>
  </si>
  <si>
    <t>F2025-00335</t>
  </si>
  <si>
    <t>F2025-00359</t>
  </si>
  <si>
    <t>F2025-00371</t>
  </si>
  <si>
    <t>F2025-00353</t>
  </si>
  <si>
    <t>F2025-00343</t>
  </si>
  <si>
    <t>F2025-00338</t>
  </si>
  <si>
    <t>F2025-00377</t>
  </si>
  <si>
    <t>F2025-00339</t>
  </si>
  <si>
    <t>F2025-00361</t>
  </si>
  <si>
    <t>F2025-00363</t>
  </si>
  <si>
    <t>F2025-00344</t>
  </si>
  <si>
    <t>F2025-00378</t>
  </si>
  <si>
    <t>F2025-00337</t>
  </si>
  <si>
    <t>F2025-00349</t>
  </si>
  <si>
    <t>F2025-00374</t>
  </si>
  <si>
    <t>F2025-00341</t>
  </si>
  <si>
    <t>F2025-00356</t>
  </si>
  <si>
    <t>F2025-00364</t>
  </si>
  <si>
    <t>F2025-00360</t>
  </si>
  <si>
    <t>F2025-00369</t>
  </si>
  <si>
    <t>F2025-00348</t>
  </si>
  <si>
    <t>F2025-00367</t>
  </si>
  <si>
    <t>F2025-00340</t>
  </si>
  <si>
    <t>F2025-00362</t>
  </si>
  <si>
    <t>F2025-00350</t>
  </si>
  <si>
    <t>F2025-00351</t>
  </si>
  <si>
    <t>F2025-00354</t>
  </si>
  <si>
    <t>F2025-00375</t>
  </si>
  <si>
    <t>F2025-00380</t>
  </si>
  <si>
    <t>F2025-00342</t>
  </si>
  <si>
    <t>F2025-00366</t>
  </si>
  <si>
    <t>F2025-00345</t>
  </si>
  <si>
    <t>F2025-00347</t>
  </si>
  <si>
    <t>F2025-00414</t>
  </si>
  <si>
    <t>F2025-00425</t>
  </si>
  <si>
    <t>F2025-00386</t>
  </si>
  <si>
    <t>F2025-00423</t>
  </si>
  <si>
    <t>F2025-00401</t>
  </si>
  <si>
    <t>F2025-00412</t>
  </si>
  <si>
    <t>F2025-00381</t>
  </si>
  <si>
    <t>F2025-00409</t>
  </si>
  <si>
    <t>F2025-00395</t>
  </si>
  <si>
    <t>F2025-00396</t>
  </si>
  <si>
    <t>F2025-00417</t>
  </si>
  <si>
    <t>F2025-00424</t>
  </si>
  <si>
    <t>F2025-00407</t>
  </si>
  <si>
    <t>F2025-00392</t>
  </si>
  <si>
    <t>F2025-00419</t>
  </si>
  <si>
    <t>F2025-00404</t>
  </si>
  <si>
    <t>F2025-00413</t>
  </si>
  <si>
    <t>F2025-00391</t>
  </si>
  <si>
    <t>F2025-00398</t>
  </si>
  <si>
    <t>F2025-00415</t>
  </si>
  <si>
    <t>F2025-00416</t>
  </si>
  <si>
    <t>F2025-00385</t>
  </si>
  <si>
    <t>F2025-00402</t>
  </si>
  <si>
    <t>F2025-00383</t>
  </si>
  <si>
    <t>F2025-00384</t>
  </si>
  <si>
    <t>F2025-00388</t>
  </si>
  <si>
    <t>F2025-00389</t>
  </si>
  <si>
    <t>F2025-00390</t>
  </si>
  <si>
    <t>F2025-00408</t>
  </si>
  <si>
    <t>F2025-00406</t>
  </si>
  <si>
    <t>F2025-00387</t>
  </si>
  <si>
    <t>F2025-00400</t>
  </si>
  <si>
    <t>F2025-00405</t>
  </si>
  <si>
    <t>F2025-00397</t>
  </si>
  <si>
    <t>F2025-00403</t>
  </si>
  <si>
    <t>F2025-00421</t>
  </si>
  <si>
    <t>F2025-00382</t>
  </si>
  <si>
    <t>F2025-00399</t>
  </si>
  <si>
    <t>F2025-00420</t>
  </si>
  <si>
    <t>F2025-00418</t>
  </si>
  <si>
    <t>F2025-00422</t>
  </si>
  <si>
    <t>F2025-00393</t>
  </si>
  <si>
    <t>F2025-00394</t>
  </si>
  <si>
    <t>F2025-00410</t>
  </si>
  <si>
    <t>F2025-00411</t>
  </si>
  <si>
    <t>F2025-00447</t>
  </si>
  <si>
    <t>F2025-00461</t>
  </si>
  <si>
    <t>F2025-00463</t>
  </si>
  <si>
    <t>F2025-00435</t>
  </si>
  <si>
    <t>F2025-00467</t>
  </si>
  <si>
    <t>F2025-00440</t>
  </si>
  <si>
    <t>F2025-00445</t>
  </si>
  <si>
    <t>F2025-00454</t>
  </si>
  <si>
    <t>F2025-00431</t>
  </si>
  <si>
    <t>F2025-00426</t>
  </si>
  <si>
    <t>F2025-00469</t>
  </si>
  <si>
    <t>F2025-00452</t>
  </si>
  <si>
    <t>F2025-00436</t>
  </si>
  <si>
    <t>F2025-00450</t>
  </si>
  <si>
    <t>F2025-00457</t>
  </si>
  <si>
    <t>F2025-00437</t>
  </si>
  <si>
    <t>F2025-00456</t>
  </si>
  <si>
    <t>F2025-00471</t>
  </si>
  <si>
    <t>F2025-00453</t>
  </si>
  <si>
    <t>F2025-00439</t>
  </si>
  <si>
    <t>F2025-00443</t>
  </si>
  <si>
    <t>F2025-00448</t>
  </si>
  <si>
    <t>F2025-00470</t>
  </si>
  <si>
    <t>F2025-00442</t>
  </si>
  <si>
    <t>F2025-00428</t>
  </si>
  <si>
    <t>F2025-00458</t>
  </si>
  <si>
    <t>F2025-00459</t>
  </si>
  <si>
    <t>F2025-00449</t>
  </si>
  <si>
    <t>F2025-00451</t>
  </si>
  <si>
    <t>F2025-00462</t>
  </si>
  <si>
    <t>F2025-00466</t>
  </si>
  <si>
    <t>F2025-00438</t>
  </si>
  <si>
    <t>F2025-00455</t>
  </si>
  <si>
    <t>F2025-00433</t>
  </si>
  <si>
    <t>F2025-00460</t>
  </si>
  <si>
    <t>F2025-00430</t>
  </si>
  <si>
    <t>F2025-00446</t>
  </si>
  <si>
    <t>F2025-00432</t>
  </si>
  <si>
    <t>F2025-00434</t>
  </si>
  <si>
    <t>F2025-00441</t>
  </si>
  <si>
    <t>F2025-00464</t>
  </si>
  <si>
    <t>F2025-00468</t>
  </si>
  <si>
    <t>F2025-00429</t>
  </si>
  <si>
    <t>F2025-00444</t>
  </si>
  <si>
    <t>F2025-00427</t>
  </si>
  <si>
    <t>F2025-00465</t>
  </si>
  <si>
    <t>F2025-00499</t>
  </si>
  <si>
    <t>F2025-00482</t>
  </si>
  <si>
    <t>F2025-00502</t>
  </si>
  <si>
    <t>F2025-00507</t>
  </si>
  <si>
    <t>F2025-00479</t>
  </si>
  <si>
    <t>F2025-00489</t>
  </si>
  <si>
    <t>F2025-00510</t>
  </si>
  <si>
    <t>F2025-00486</t>
  </si>
  <si>
    <t>F2025-00509</t>
  </si>
  <si>
    <t>F2025-00473</t>
  </si>
  <si>
    <t>F2025-00477</t>
  </si>
  <si>
    <t>F2025-00492</t>
  </si>
  <si>
    <t>F2025-00508</t>
  </si>
  <si>
    <t>F2025-00512</t>
  </si>
  <si>
    <t>F2025-00511</t>
  </si>
  <si>
    <t>F2025-00488</t>
  </si>
  <si>
    <t>F2025-00513</t>
  </si>
  <si>
    <t>F2025-00483</t>
  </si>
  <si>
    <t>F2025-00474</t>
  </si>
  <si>
    <t>F2025-00476</t>
  </si>
  <si>
    <t>F2025-00484</t>
  </si>
  <si>
    <t>F2025-00490</t>
  </si>
  <si>
    <t>F2025-00506</t>
  </si>
  <si>
    <t>F2025-00491</t>
  </si>
  <si>
    <t>F2025-00472</t>
  </si>
  <si>
    <t>F2025-00475</t>
  </si>
  <si>
    <t>F2025-00478</t>
  </si>
  <si>
    <t>F2025-00503</t>
  </si>
  <si>
    <t>F2025-00481</t>
  </si>
  <si>
    <t>F2025-00498</t>
  </si>
  <si>
    <t>F2025-00501</t>
  </si>
  <si>
    <t>F2025-00504</t>
  </si>
  <si>
    <t>F2025-00505</t>
  </si>
  <si>
    <t>F2025-00480</t>
  </si>
  <si>
    <t>F2025-00485</t>
  </si>
  <si>
    <t>F2025-00487</t>
  </si>
  <si>
    <t>F2025-00500</t>
  </si>
  <si>
    <t>F2025-00496</t>
  </si>
  <si>
    <t>F2025-00494</t>
  </si>
  <si>
    <t>F2025-00493</t>
  </si>
  <si>
    <t>F2025-00495</t>
  </si>
  <si>
    <t>F2025-00497</t>
  </si>
  <si>
    <t>F2026-00520</t>
  </si>
  <si>
    <t>F2026-00534</t>
  </si>
  <si>
    <t>F2026-00518</t>
  </si>
  <si>
    <t>F2026-00519</t>
  </si>
  <si>
    <t>F2026-00526</t>
  </si>
  <si>
    <t>F2026-00551</t>
  </si>
  <si>
    <t>F2026-00533</t>
  </si>
  <si>
    <t>F2026-00537</t>
  </si>
  <si>
    <t>F2026-00548</t>
  </si>
  <si>
    <t>F2026-00525</t>
  </si>
  <si>
    <t>F2026-00530</t>
  </si>
  <si>
    <t>F2026-00541</t>
  </si>
  <si>
    <t>F2026-00549</t>
  </si>
  <si>
    <t>F2026-00515</t>
  </si>
  <si>
    <t>F2026-00524</t>
  </si>
  <si>
    <t>F2026-00543</t>
  </si>
  <si>
    <t>F2026-00536</t>
  </si>
  <si>
    <t>F2026-00554</t>
  </si>
  <si>
    <t>F2026-00514</t>
  </si>
  <si>
    <t>F2026-00540</t>
  </si>
  <si>
    <t>F2026-00542</t>
  </si>
  <si>
    <t>F2026-00529</t>
  </si>
  <si>
    <t>F2026-00521</t>
  </si>
  <si>
    <t>F2026-00538</t>
  </si>
  <si>
    <t>F2026-00539</t>
  </si>
  <si>
    <t>F2026-00550</t>
  </si>
  <si>
    <t>F2026-00555</t>
  </si>
  <si>
    <t>F2026-00535</t>
  </si>
  <si>
    <t>F2026-00547</t>
  </si>
  <si>
    <t>F2026-00516</t>
  </si>
  <si>
    <t>F2026-00517</t>
  </si>
  <si>
    <t>F2026-00523</t>
  </si>
  <si>
    <t>F2026-00527</t>
  </si>
  <si>
    <t>F2026-00546</t>
  </si>
  <si>
    <t>F2026-00545</t>
  </si>
  <si>
    <t>F2026-00532</t>
  </si>
  <si>
    <t>F2026-00553</t>
  </si>
  <si>
    <t>F2026-00522</t>
  </si>
  <si>
    <t>F2026-00528</t>
  </si>
  <si>
    <t>F2026-00552</t>
  </si>
  <si>
    <t>F2026-00531</t>
  </si>
  <si>
    <t>F2026-00544</t>
  </si>
  <si>
    <t>F2026-00592</t>
  </si>
  <si>
    <t>F2026-00576</t>
  </si>
  <si>
    <t>F2026-00585</t>
  </si>
  <si>
    <t>F2026-00556</t>
  </si>
  <si>
    <t>F2026-00595</t>
  </si>
  <si>
    <t>F2026-00600</t>
  </si>
  <si>
    <t>F2026-00561</t>
  </si>
  <si>
    <t>F2026-00586</t>
  </si>
  <si>
    <t>F2026-00591</t>
  </si>
  <si>
    <t>F2026-00562</t>
  </si>
  <si>
    <t>F2026-00568</t>
  </si>
  <si>
    <t>F2026-00560</t>
  </si>
  <si>
    <t>F2026-00570</t>
  </si>
  <si>
    <t>F2026-00584</t>
  </si>
  <si>
    <t>F2026-00574</t>
  </si>
  <si>
    <t>F2026-00579</t>
  </si>
  <si>
    <t>F2026-00589</t>
  </si>
  <si>
    <t>F2026-00596</t>
  </si>
  <si>
    <t>F2026-00558</t>
  </si>
  <si>
    <t>F2026-00578</t>
  </si>
  <si>
    <t>F2026-00564</t>
  </si>
  <si>
    <t>F2026-00581</t>
  </si>
  <si>
    <t>F2026-00590</t>
  </si>
  <si>
    <t>F2026-00597</t>
  </si>
  <si>
    <t>F2026-00601</t>
  </si>
  <si>
    <t>F2026-00571</t>
  </si>
  <si>
    <t>F2026-00557</t>
  </si>
  <si>
    <t>F2026-00573</t>
  </si>
  <si>
    <t>F2026-00587</t>
  </si>
  <si>
    <t>F2026-00599</t>
  </si>
  <si>
    <t>F2026-00559</t>
  </si>
  <si>
    <t>F2026-00582</t>
  </si>
  <si>
    <t>F2026-00594</t>
  </si>
  <si>
    <t>F2026-00565</t>
  </si>
  <si>
    <t>F2026-00580</t>
  </si>
  <si>
    <t>F2026-00602</t>
  </si>
  <si>
    <t>F2026-00563</t>
  </si>
  <si>
    <t>F2026-00572</t>
  </si>
  <si>
    <t>F2026-00575</t>
  </si>
  <si>
    <t>F2026-00583</t>
  </si>
  <si>
    <t>F2026-00588</t>
  </si>
  <si>
    <t>F2026-00577</t>
  </si>
  <si>
    <t>F2026-00593</t>
  </si>
  <si>
    <t>F2026-00598</t>
  </si>
  <si>
    <t>F2026-00567</t>
  </si>
  <si>
    <t>F2026-00569</t>
  </si>
  <si>
    <t>F2026-00566</t>
  </si>
  <si>
    <t>F2026-00639</t>
  </si>
  <si>
    <t>F2026-00616</t>
  </si>
  <si>
    <t>F2026-00650</t>
  </si>
  <si>
    <t>F2026-00615</t>
  </si>
  <si>
    <t>F2026-00614</t>
  </si>
  <si>
    <t>F2026-00629</t>
  </si>
  <si>
    <t>F2026-00607</t>
  </si>
  <si>
    <t>F2026-00609</t>
  </si>
  <si>
    <t>F2026-00623</t>
  </si>
  <si>
    <t>F2026-00641</t>
  </si>
  <si>
    <t>F2026-00647</t>
  </si>
  <si>
    <t>F2026-00651</t>
  </si>
  <si>
    <t>F2026-00604</t>
  </si>
  <si>
    <t>F2026-00625</t>
  </si>
  <si>
    <t>F2026-00637</t>
  </si>
  <si>
    <t>F2026-00611</t>
  </si>
  <si>
    <t>F2026-00633</t>
  </si>
  <si>
    <t>F2026-00640</t>
  </si>
  <si>
    <t>F2026-00634</t>
  </si>
  <si>
    <t>F2026-00649</t>
  </si>
  <si>
    <t>F2026-00618</t>
  </si>
  <si>
    <t>F2026-00613</t>
  </si>
  <si>
    <t>F2026-00631</t>
  </si>
  <si>
    <t>F2026-00608</t>
  </si>
  <si>
    <t>F2026-00610</t>
  </si>
  <si>
    <t>F2026-00619</t>
  </si>
  <si>
    <t>F2026-00654</t>
  </si>
  <si>
    <t>F2026-00624</t>
  </si>
  <si>
    <t>F2026-00627</t>
  </si>
  <si>
    <t>F2026-00636</t>
  </si>
  <si>
    <t>F2026-00652</t>
  </si>
  <si>
    <t>F2026-00653</t>
  </si>
  <si>
    <t>F2026-00605</t>
  </si>
  <si>
    <t>F2026-00617</t>
  </si>
  <si>
    <t>F2026-00642</t>
  </si>
  <si>
    <t>F2026-00632</t>
  </si>
  <si>
    <t>F2026-00606</t>
  </si>
  <si>
    <t>F2026-00626</t>
  </si>
  <si>
    <t>F2026-00635</t>
  </si>
  <si>
    <t>F2026-00638</t>
  </si>
  <si>
    <t>F2026-00644</t>
  </si>
  <si>
    <t>F2026-00648</t>
  </si>
  <si>
    <t>F2026-00612</t>
  </si>
  <si>
    <t>F2026-00620</t>
  </si>
  <si>
    <t>F2026-00628</t>
  </si>
  <si>
    <t>F2026-00630</t>
  </si>
  <si>
    <t>F2026-00621</t>
  </si>
  <si>
    <t>F2026-00645</t>
  </si>
  <si>
    <t>F2026-00622</t>
  </si>
  <si>
    <t>F2026-00643</t>
  </si>
  <si>
    <t>F2026-00646</t>
  </si>
  <si>
    <t>F2026-00603</t>
  </si>
  <si>
    <t>F2026-00681</t>
  </si>
  <si>
    <t>F2026-00682</t>
  </si>
  <si>
    <t>F2026-00686</t>
  </si>
  <si>
    <t>F2026-00690</t>
  </si>
  <si>
    <t>F2026-00702</t>
  </si>
  <si>
    <t>F2026-00672</t>
  </si>
  <si>
    <t>F2026-00687</t>
  </si>
  <si>
    <t>F2026-00699</t>
  </si>
  <si>
    <t>F2026-00673</t>
  </si>
  <si>
    <t>F2026-00691</t>
  </si>
  <si>
    <t>F2026-00695</t>
  </si>
  <si>
    <t>F2026-00658</t>
  </si>
  <si>
    <t>F2026-00663</t>
  </si>
  <si>
    <t>F2026-00678</t>
  </si>
  <si>
    <t>F2026-00655</t>
  </si>
  <si>
    <t>F2026-00670</t>
  </si>
  <si>
    <t>F2026-00680</t>
  </si>
  <si>
    <t>F2026-00660</t>
  </si>
  <si>
    <t>F2026-00662</t>
  </si>
  <si>
    <t>F2026-00674</t>
  </si>
  <si>
    <t>F2026-00677</t>
  </si>
  <si>
    <t>F2026-00659</t>
  </si>
  <si>
    <t>F2026-00688</t>
  </si>
  <si>
    <t>F2026-00665</t>
  </si>
  <si>
    <t>F2026-00693</t>
  </si>
  <si>
    <t>F2026-00696</t>
  </si>
  <si>
    <t>F2026-00668</t>
  </si>
  <si>
    <t>F2026-00675</t>
  </si>
  <si>
    <t>F2026-00661</t>
  </si>
  <si>
    <t>F2026-00664</t>
  </si>
  <si>
    <t>F2026-00667</t>
  </si>
  <si>
    <t>F2026-00689</t>
  </si>
  <si>
    <t>F2026-00694</t>
  </si>
  <si>
    <t>F2026-00684</t>
  </si>
  <si>
    <t>F2026-00656</t>
  </si>
  <si>
    <t>F2026-00657</t>
  </si>
  <si>
    <t>F2026-00676</t>
  </si>
  <si>
    <t>F2026-00697</t>
  </si>
  <si>
    <t>F2026-00671</t>
  </si>
  <si>
    <t>F2026-00679</t>
  </si>
  <si>
    <t>F2026-00683</t>
  </si>
  <si>
    <t>F2026-00692</t>
  </si>
  <si>
    <t>F2026-00703</t>
  </si>
  <si>
    <t>F2026-00666</t>
  </si>
  <si>
    <t>F2026-00685</t>
  </si>
  <si>
    <t>F2026-00669</t>
  </si>
  <si>
    <t>F2026-00698</t>
  </si>
  <si>
    <t>F2026-00701</t>
  </si>
  <si>
    <t>F2026-00700</t>
  </si>
  <si>
    <t>F2026-00743</t>
  </si>
  <si>
    <t>F2026-00752</t>
  </si>
  <si>
    <t>F2026-00708</t>
  </si>
  <si>
    <t>F2026-00714</t>
  </si>
  <si>
    <t>F2026-00723</t>
  </si>
  <si>
    <t>F2026-00749</t>
  </si>
  <si>
    <t>F2026-00750</t>
  </si>
  <si>
    <t>F2026-00704</t>
  </si>
  <si>
    <t>F2026-00719</t>
  </si>
  <si>
    <t>F2026-00741</t>
  </si>
  <si>
    <t>F2026-00754</t>
  </si>
  <si>
    <t>F2026-00733</t>
  </si>
  <si>
    <t>F2026-00747</t>
  </si>
  <si>
    <t>F2026-00706</t>
  </si>
  <si>
    <t>F2026-00717</t>
  </si>
  <si>
    <t>F2026-00730</t>
  </si>
  <si>
    <t>F2026-00732</t>
  </si>
  <si>
    <t>F2026-00715</t>
  </si>
  <si>
    <t>F2026-00716</t>
  </si>
  <si>
    <t>F2026-00734</t>
  </si>
  <si>
    <t>F2026-00735</t>
  </si>
  <si>
    <t>F2026-00742</t>
  </si>
  <si>
    <t>F2026-00709</t>
  </si>
  <si>
    <t>F2026-00718</t>
  </si>
  <si>
    <t>F2026-00729</t>
  </si>
  <si>
    <t>F2026-00745</t>
  </si>
  <si>
    <t>F2026-00728</t>
  </si>
  <si>
    <t>F2026-00724</t>
  </si>
  <si>
    <t>F2026-00725</t>
  </si>
  <si>
    <t>F2026-00711</t>
  </si>
  <si>
    <t>F2026-00731</t>
  </si>
  <si>
    <t>F2026-00737</t>
  </si>
  <si>
    <t>F2026-00738</t>
  </si>
  <si>
    <t>F2026-00753</t>
  </si>
  <si>
    <t>F2026-00720</t>
  </si>
  <si>
    <t>F2026-00713</t>
  </si>
  <si>
    <t>F2026-00755</t>
  </si>
  <si>
    <t>F2026-00751</t>
  </si>
  <si>
    <t>F2026-00736</t>
  </si>
  <si>
    <t>F2026-00705</t>
  </si>
  <si>
    <t>F2026-00707</t>
  </si>
  <si>
    <t>F2026-00748</t>
  </si>
  <si>
    <t>F2026-00721</t>
  </si>
  <si>
    <t>F2026-00712</t>
  </si>
  <si>
    <t>F2026-00739</t>
  </si>
  <si>
    <t>F2026-00710</t>
  </si>
  <si>
    <t>F2026-00722</t>
  </si>
  <si>
    <t>F2026-00744</t>
  </si>
  <si>
    <t>F2026-00727</t>
  </si>
  <si>
    <t>F2026-00740</t>
  </si>
  <si>
    <t>F2026-00746</t>
  </si>
  <si>
    <t>F2026-00726</t>
  </si>
  <si>
    <t>F2026-00756</t>
  </si>
  <si>
    <t>F2026-00762</t>
  </si>
  <si>
    <t>F2026-00794</t>
  </si>
  <si>
    <t>F2026-00783</t>
  </si>
  <si>
    <t>F2026-00772</t>
  </si>
  <si>
    <t>F2026-00773</t>
  </si>
  <si>
    <t>F2026-00804</t>
  </si>
  <si>
    <t>F2026-00763</t>
  </si>
  <si>
    <t>F2026-00787</t>
  </si>
  <si>
    <t>F2026-00802</t>
  </si>
  <si>
    <t>F2026-00797</t>
  </si>
  <si>
    <t>F2026-00805</t>
  </si>
  <si>
    <t>F2026-00767</t>
  </si>
  <si>
    <t>F2026-00786</t>
  </si>
  <si>
    <t>F2026-00792</t>
  </si>
  <si>
    <t>F2026-00803</t>
  </si>
  <si>
    <t>F2026-00761</t>
  </si>
  <si>
    <t>F2026-00768</t>
  </si>
  <si>
    <t>F2026-00784</t>
  </si>
  <si>
    <t>F2026-00771</t>
  </si>
  <si>
    <t>F2026-00778</t>
  </si>
  <si>
    <t>F2026-00800</t>
  </si>
  <si>
    <t>F2026-00791</t>
  </si>
  <si>
    <t>F2026-00781</t>
  </si>
  <si>
    <t>F2026-00811</t>
  </si>
  <si>
    <t>F2026-00758</t>
  </si>
  <si>
    <t>F2026-00793</t>
  </si>
  <si>
    <t>F2026-00760</t>
  </si>
  <si>
    <t>F2026-00769</t>
  </si>
  <si>
    <t>F2026-00770</t>
  </si>
  <si>
    <t>F2026-00764</t>
  </si>
  <si>
    <t>F2026-00776</t>
  </si>
  <si>
    <t>F2026-00796</t>
  </si>
  <si>
    <t>F2026-00788</t>
  </si>
  <si>
    <t>F2026-00799</t>
  </si>
  <si>
    <t>F2026-00777</t>
  </si>
  <si>
    <t>F2026-00759</t>
  </si>
  <si>
    <t>F2026-00795</t>
  </si>
  <si>
    <t>F2026-00801</t>
  </si>
  <si>
    <t>F2026-00809</t>
  </si>
  <si>
    <t>F2026-00757</t>
  </si>
  <si>
    <t>F2026-00780</t>
  </si>
  <si>
    <t>F2026-00765</t>
  </si>
  <si>
    <t>F2026-00785</t>
  </si>
  <si>
    <t>F2026-00774</t>
  </si>
  <si>
    <t>F2026-00782</t>
  </si>
  <si>
    <t>F2026-00808</t>
  </si>
  <si>
    <t>F2026-00775</t>
  </si>
  <si>
    <t>F2026-00779</t>
  </si>
  <si>
    <t>F2026-00798</t>
  </si>
  <si>
    <t>F2026-00806</t>
  </si>
  <si>
    <t>F2026-00766</t>
  </si>
  <si>
    <t>F2026-00790</t>
  </si>
  <si>
    <t>F2026-00807</t>
  </si>
  <si>
    <t>F2026-00789</t>
  </si>
  <si>
    <t>F2026-00810</t>
  </si>
  <si>
    <t>F2026-00827</t>
  </si>
  <si>
    <t>F2026-00831</t>
  </si>
  <si>
    <t>F2026-00838</t>
  </si>
  <si>
    <t>F2026-00815</t>
  </si>
  <si>
    <t>F2026-00855</t>
  </si>
  <si>
    <t>F2026-00836</t>
  </si>
  <si>
    <t>F2026-00850</t>
  </si>
  <si>
    <t>F2026-00834</t>
  </si>
  <si>
    <t>F2026-00840</t>
  </si>
  <si>
    <t>F2026-00847</t>
  </si>
  <si>
    <t>F2026-00816</t>
  </si>
  <si>
    <t>F2026-00820</t>
  </si>
  <si>
    <t>F2026-00829</t>
  </si>
  <si>
    <t>F2026-00837</t>
  </si>
  <si>
    <t>F2026-00828</t>
  </si>
  <si>
    <t>F2026-00841</t>
  </si>
  <si>
    <t>F2026-00821</t>
  </si>
  <si>
    <t>F2026-00822</t>
  </si>
  <si>
    <t>F2026-00851</t>
  </si>
  <si>
    <t>F2026-00812</t>
  </si>
  <si>
    <t>F2026-00830</t>
  </si>
  <si>
    <t>F2026-00832</t>
  </si>
  <si>
    <t>F2026-00845</t>
  </si>
  <si>
    <t>F2026-00854</t>
  </si>
  <si>
    <t>F2026-00825</t>
  </si>
  <si>
    <t>F2026-00849</t>
  </si>
  <si>
    <t>F2026-00814</t>
  </si>
  <si>
    <t>F2026-00826</t>
  </si>
  <si>
    <t>F2026-00823</t>
  </si>
  <si>
    <t>F2026-00848</t>
  </si>
  <si>
    <t>F2026-00819</t>
  </si>
  <si>
    <t>F2026-00852</t>
  </si>
  <si>
    <t>F2026-00853</t>
  </si>
  <si>
    <t>F2026-00843</t>
  </si>
  <si>
    <t>F2026-00842</t>
  </si>
  <si>
    <t>F2026-00813</t>
  </si>
  <si>
    <t>F2026-00846</t>
  </si>
  <si>
    <t>F2026-00818</t>
  </si>
  <si>
    <t>F2026-00824</t>
  </si>
  <si>
    <t>F2026-00835</t>
  </si>
  <si>
    <t>F2026-00833</t>
  </si>
  <si>
    <t>F2026-00839</t>
  </si>
  <si>
    <t>F2026-00844</t>
  </si>
  <si>
    <t>F2026-00817</t>
  </si>
  <si>
    <t>F2026-00873</t>
  </si>
  <si>
    <t>F2026-00883</t>
  </si>
  <si>
    <t>F2026-00880</t>
  </si>
  <si>
    <t>F2026-00863</t>
  </si>
  <si>
    <t>F2026-00882</t>
  </si>
  <si>
    <t>F2026-00872</t>
  </si>
  <si>
    <t>F2026-00874</t>
  </si>
  <si>
    <t>F2026-00864</t>
  </si>
  <si>
    <t>F2026-00869</t>
  </si>
  <si>
    <t>F2026-00879</t>
  </si>
  <si>
    <t>F2026-00861</t>
  </si>
  <si>
    <t>F2026-00871</t>
  </si>
  <si>
    <t>F2026-00875</t>
  </si>
  <si>
    <t>F2026-00877</t>
  </si>
  <si>
    <t>F2026-00858</t>
  </si>
  <si>
    <t>F2026-00876</t>
  </si>
  <si>
    <t>F2026-00856</t>
  </si>
  <si>
    <t>F2026-00878</t>
  </si>
  <si>
    <t>F2026-00859</t>
  </si>
  <si>
    <t>F2026-00881</t>
  </si>
  <si>
    <t>F2026-00862</t>
  </si>
  <si>
    <t>F2026-00866</t>
  </si>
  <si>
    <t>F2026-00860</t>
  </si>
  <si>
    <t>F2026-00857</t>
  </si>
  <si>
    <t>F2026-00865</t>
  </si>
  <si>
    <t>F2026-00870</t>
  </si>
  <si>
    <t>F2026-00867</t>
  </si>
  <si>
    <t>F2026-00868</t>
  </si>
  <si>
    <t>F2026-00930</t>
  </si>
  <si>
    <t>F2026-00911</t>
  </si>
  <si>
    <t>F2026-00885</t>
  </si>
  <si>
    <t>F2026-00921</t>
  </si>
  <si>
    <t>F2026-00887</t>
  </si>
  <si>
    <t>F2026-00923</t>
  </si>
  <si>
    <t>F2026-00900</t>
  </si>
  <si>
    <t>F2026-00886</t>
  </si>
  <si>
    <t>F2026-00892</t>
  </si>
  <si>
    <t>F2026-00898</t>
  </si>
  <si>
    <t>F2026-00917</t>
  </si>
  <si>
    <t>F2026-00906</t>
  </si>
  <si>
    <t>F2026-00896</t>
  </si>
  <si>
    <t>F2026-00913</t>
  </si>
  <si>
    <t>F2026-00922</t>
  </si>
  <si>
    <t>F2026-00927</t>
  </si>
  <si>
    <t>F2026-00912</t>
  </si>
  <si>
    <t>F2026-00918</t>
  </si>
  <si>
    <t>F2026-00931</t>
  </si>
  <si>
    <t>F2026-00916</t>
  </si>
  <si>
    <t>F2026-00919</t>
  </si>
  <si>
    <t>F2026-00929</t>
  </si>
  <si>
    <t>F2026-00888</t>
  </si>
  <si>
    <t>F2026-00895</t>
  </si>
  <si>
    <t>F2026-00897</t>
  </si>
  <si>
    <t>F2026-00902</t>
  </si>
  <si>
    <t>F2026-00910</t>
  </si>
  <si>
    <t>F2026-00933</t>
  </si>
  <si>
    <t>F2026-00920</t>
  </si>
  <si>
    <t>F2026-00915</t>
  </si>
  <si>
    <t>F2026-00926</t>
  </si>
  <si>
    <t>F2026-00928</t>
  </si>
  <si>
    <t>F2026-00889</t>
  </si>
  <si>
    <t>F2026-00904</t>
  </si>
  <si>
    <t>F2026-00914</t>
  </si>
  <si>
    <t>F2026-00932</t>
  </si>
  <si>
    <t>F2026-00905</t>
  </si>
  <si>
    <t>F2026-00908</t>
  </si>
  <si>
    <t>F2026-00909</t>
  </si>
  <si>
    <t>F2026-00924</t>
  </si>
  <si>
    <t>F2026-00893</t>
  </si>
  <si>
    <t>F2026-00894</t>
  </si>
  <si>
    <t>F2026-00899</t>
  </si>
  <si>
    <t>F2026-00901</t>
  </si>
  <si>
    <t>F2026-00884</t>
  </si>
  <si>
    <t>F2026-00890</t>
  </si>
  <si>
    <t>F2026-00907</t>
  </si>
  <si>
    <t>F2026-00925</t>
  </si>
  <si>
    <t>F2026-00891</t>
  </si>
  <si>
    <t>F2026-00903</t>
  </si>
  <si>
    <t>DONNÉES FICTIVES. Une ligne par mois, à remplir en fin de mois : charges fixes (comptabilité, hors achats de marchandises), solde bancaire et créances clients TTC (balance âgée). Laissez vides les mois à venir.</t>
  </si>
  <si>
    <t>Charges fixes du mois (€)</t>
  </si>
  <si>
    <t>Trésorerie fin de mois (€)</t>
  </si>
  <si>
    <t>Créances clients fin de mois TTC (€)</t>
  </si>
  <si>
    <t>Objectifs et seuils d’alerte</t>
  </si>
  <si>
    <t>Cellules jaunes à texte bleu : à remplir. Les valeurs ci-dessous sont des EXEMPLES FICTIFS.</t>
  </si>
  <si>
    <t>Nom de l’entreprise</t>
  </si>
  <si>
    <t>PME exemple (données fictives)</t>
  </si>
  <si>
    <t>Affiché en tête du tableau de bord.</t>
  </si>
  <si>
    <t>Début de l’exercice</t>
  </si>
  <si>
    <t>Premier jour du premier mois de l’exercice suivi.</t>
  </si>
  <si>
    <t>Objectif de taux de marge brute</t>
  </si>
  <si>
    <t>Marge brute ÷ CA HT.</t>
  </si>
  <si>
    <t>Taux de TVA moyen des ventes</t>
  </si>
  <si>
    <t>Sert à passer le CA HT en TTC pour le délai de paiement clients.</t>
  </si>
  <si>
    <t>Tolérance d’écart sur le CA et l’EBE</t>
  </si>
  <si>
    <t>Sous le budget mais dans la tolérance : « À surveiller ». Au-delà : « Alerte ».</t>
  </si>
  <si>
    <t>Tolérance d’écart sur la marge (points)</t>
  </si>
  <si>
    <t>1,0 % = 1 point de taux de marge.</t>
  </si>
  <si>
    <t>Seuil d’alerte de trésorerie</t>
  </si>
  <si>
    <t>Sous ce seuil : « Alerte ». Sous 125 % du seuil : « À surveiller ».</t>
  </si>
  <si>
    <t>Objectif de délai de paiement clients (jours)</t>
  </si>
  <si>
    <t>Au-dessus : « À surveiller ». Au-dessus de l’objectif + la tolérance : « Alerte ».</t>
  </si>
  <si>
    <t>Tolérance sur le délai de paiement (jours)</t>
  </si>
  <si>
    <t>Budget mensuel de l’exercice</t>
  </si>
  <si>
    <t>Budget CA HT (€)</t>
  </si>
  <si>
    <t>Budget charges fixes (€)</t>
  </si>
  <si>
    <t>Total</t>
  </si>
  <si>
    <t>Exemple : budget fictif = CA 2025 + 8 %, charges fixes de 51 500 € par mois (47 000 € en août, 56 000 € en décembre).</t>
  </si>
  <si>
    <t>Listes</t>
  </si>
  <si>
    <t>Ajoutez ici chaque nouveau client et chaque famille de produits, écrits exactement comme dans l’export des ventes.</t>
  </si>
  <si>
    <t>Clients</t>
  </si>
  <si>
    <t>Familles de produits</t>
  </si>
  <si>
    <t>Contrôle</t>
  </si>
  <si>
    <t>Lignes de ventes dont le client manque dans la liste :</t>
  </si>
  <si>
    <t>Lignes de ventes dont la famille manque dans la liste :</t>
  </si>
  <si>
    <t>Calculs (ne rien saisir ici : tout se met à jour depuis les autres onglets)</t>
  </si>
  <si>
    <t>Mois choisi (libellé)</t>
  </si>
  <si>
    <t>N° du mois choisi (1 à 12)</t>
  </si>
  <si>
    <t>Mois choisi (date)</t>
  </si>
  <si>
    <t>N°</t>
  </si>
  <si>
    <t>Libellé</t>
  </si>
  <si>
    <t>Même mois N-1</t>
  </si>
  <si>
    <t>Données ? (1 = oui)</t>
  </si>
  <si>
    <t>CA HT N</t>
  </si>
  <si>
    <t>CA HT N-1</t>
  </si>
  <si>
    <t>Budget CA HT</t>
  </si>
  <si>
    <t>Coût achat N</t>
  </si>
  <si>
    <t>Marge brute N</t>
  </si>
  <si>
    <t>Taux de marge N</t>
  </si>
  <si>
    <t>Objectif taux</t>
  </si>
  <si>
    <t>Marge brute N-1</t>
  </si>
  <si>
    <t>Charges fixes N</t>
  </si>
  <si>
    <t>Budget charges</t>
  </si>
  <si>
    <t>EBE estimé N</t>
  </si>
  <si>
    <t>EBE budget</t>
  </si>
  <si>
    <t>Créances clients TTC</t>
  </si>
  <si>
    <t>CA TTC 3 derniers mois</t>
  </si>
  <si>
    <t>Délai clients (j)</t>
  </si>
  <si>
    <t>Seuil trésorerie</t>
  </si>
  <si>
    <t>Objectif délai (j)</t>
  </si>
  <si>
    <t>Indicateurs du mois choisi et cumul depuis le début de l’exercice</t>
  </si>
  <si>
    <t>Écarts et statuts</t>
  </si>
  <si>
    <t>CA HT du mois</t>
  </si>
  <si>
    <t>Écart CA du mois / budget</t>
  </si>
  <si>
    <t>Budget CA du mois</t>
  </si>
  <si>
    <t>Écart CA du mois / N-1</t>
  </si>
  <si>
    <t>CA du même mois N-1</t>
  </si>
  <si>
    <t>Écart CA cumulé / budget</t>
  </si>
  <si>
    <t>CA HT cumulé</t>
  </si>
  <si>
    <t>Écart CA cumulé / N-1</t>
  </si>
  <si>
    <t>Budget CA cumulé</t>
  </si>
  <si>
    <t>Écart taux de marge / objectif (pt)</t>
  </si>
  <si>
    <t>CA cumulé N-1 (même période)</t>
  </si>
  <si>
    <t>Écart taux de marge / N-1 (pt)</t>
  </si>
  <si>
    <t>Marge brute cumulée</t>
  </si>
  <si>
    <t>Écart EBE / budget</t>
  </si>
  <si>
    <t>Taux de marge cumulé</t>
  </si>
  <si>
    <t>Statut CA du mois</t>
  </si>
  <si>
    <t>Taux de marge cumulé N-1</t>
  </si>
  <si>
    <t>Statut CA cumulé</t>
  </si>
  <si>
    <t>Taux de marge du mois</t>
  </si>
  <si>
    <t>Statut marge</t>
  </si>
  <si>
    <t>EBE estimé cumulé</t>
  </si>
  <si>
    <t>Statut EBE</t>
  </si>
  <si>
    <t>EBE budget cumulé</t>
  </si>
  <si>
    <t>Statut trésorerie</t>
  </si>
  <si>
    <t>Trésorerie fin du mois</t>
  </si>
  <si>
    <t>Statut délai clients</t>
  </si>
  <si>
    <t>Trésorerie fin du mois précédent</t>
  </si>
  <si>
    <t>Délai de paiement clients (j)</t>
  </si>
  <si>
    <t>Délai du mois précédent (j)</t>
  </si>
  <si>
    <t>Clients : CA cumulé de l’exercice (jusqu’au mois choisi)</t>
  </si>
  <si>
    <t>Les 5 premiers clients</t>
  </si>
  <si>
    <t>Marge cumulée</t>
  </si>
  <si>
    <t>Clé de tri</t>
  </si>
  <si>
    <t>Rang</t>
  </si>
  <si>
    <t>Part des 5 premiers clients</t>
  </si>
  <si>
    <t>CA cumulé par famille (même période N et N-1)</t>
  </si>
  <si>
    <t>CA cumulé N</t>
  </si>
  <si>
    <t>CA cumulé N-1</t>
  </si>
  <si>
    <t>Évolution</t>
  </si>
  <si>
    <t>Points d’attention (phrases générées)</t>
  </si>
  <si>
    <t>Mode d’emploi du modèle</t>
  </si>
  <si>
    <t>Un tableau de bord de gestion sur une page : chiffre d’affaires, marge, EBE estimé, trésorerie et délai de paiement clients, comparés au budget et à l’an dernier. Sans macro, sans formulaire, sans connexion externe.</t>
  </si>
  <si>
    <t>Les chiffres livrés sont FICTIFS : une PME de négoce imaginaire, pour voir le modèle fonctionner.</t>
  </si>
  <si>
    <t>Les couleurs</t>
  </si>
  <si>
    <t>Texte bleu sur fond jaune : une donnée à saisir ou à coller. Texte noir : une formule, à ne pas modifier.</t>
  </si>
  <si>
    <t>Onglets à onglet bleu : vos données. Onglet gris (Calculs) : les calculs. Onglets verts : le tableau de bord et cette notice.</t>
  </si>
  <si>
    <t>Mettre vos chiffres en 4 étapes</t>
  </si>
  <si>
    <t>1. Onglet Objectifs : le nom de l’entreprise, le premier jour de l’exercice, l’objectif de marge, les seuils d’alerte et le budget mensuel.</t>
  </si>
  <si>
    <t>2. Onglet Données ventes : supprimez les lignes d’exemple, puis collez l’export de votre logiciel de facturation dans les colonnes A à F (date, n° de facture, client, famille, CA HT, coût d’achat HT). Gardez au moins l’exercice précédent pour les comparaisons N-1. Le tableau s’agrandit tout seul et calcule la marge, le mois et l’année.</t>
  </si>
  <si>
    <t>3. Onglet Listes : vérifiez que chaque client et chaque famille de l’export y figure. La case « Contrôle » indique les lignes oubliées.</t>
  </si>
  <si>
    <t>4. Onglet Données mensuelles : chaque fin de mois, les charges fixes (comptabilité), le solde bancaire et les créances clients TTC (balance âgée). Puis choisissez le mois en haut du tableau de bord.</t>
  </si>
  <si>
    <t>Ce que calcule le tableau de bord</t>
  </si>
  <si>
    <t>Chiffre d’affaires : somme des CA HT du mois (SOMME.SI.ENS), comparée au budget et au même mois de l’an dernier.</t>
  </si>
  <si>
    <t>Taux de marge brute : (CA HT − coût d’achat HT) ÷ CA HT, cumulé depuis le début de l’exercice.</t>
  </si>
  <si>
    <t>EBE estimé : marge brute − charges fixes. C’est une approche simplifiée (hors amortissements, frais financiers et variations de stock).</t>
  </si>
  <si>
    <t>Délai de paiement clients : créances clients TTC ÷ CA TTC des 3 derniers mois × 90 jours.</t>
  </si>
  <si>
    <t>Statuts : « OK » si l’objectif est atteint, « À surveiller » si l’écart reste dans la tolérance, « Alerte » au-delà. Les tolérances se règlent dans l’onglet Objectifs.</t>
  </si>
  <si>
    <t>Brancher vos exports avec Power Query (facultatif)</t>
  </si>
  <si>
    <t>Pour éviter le copier-coller chaque mois : Données &gt; Obtenir des données &gt; À partir d’un fichier (classeur ou CSV), choisissez votre export, renommez et ordonnez les colonnes comme dans l’onglet Données ventes, puis « Fermer et charger dans » ce même tableau. Chaque mois : Données &gt; Actualiser tout.</t>
  </si>
  <si>
    <t>Les limites, honnêtement</t>
  </si>
  <si>
    <t>Le modèle dépend d’exports faits à la main : une erreur de copie fausse les chiffres, et la mise à jour prend du temps chaque mois.</t>
  </si>
  <si>
    <t>Quand plusieurs logiciels sont concernés (facturation, comptabilité, banque, CRM), un tableau de bord automatisé, à jour chaque matin, évite ces ressaisies. C’est le métier de KAVDAL : https://kavdal.com/fr/tableaux-de-bord/</t>
  </si>
  <si>
    <t>Licence</t>
  </si>
  <si>
    <t>Libre d’usage et de modification dans votre entreprise. Merci de ne pas le revendre. Modèle proposé par KAVDAL, version du 15 octobre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</si>
</sst>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5" formatCode="mm/yyyy"/>
    <numFmt numFmtId="166" formatCode="mmm\ yyyy"/>
    <numFmt numFmtId="167" formatCode="#,##0\ &quot;€&quot;;\-#,##0\ &quot;€&quot;;&quot;–&quot;"/>
    <numFmt numFmtId="168" formatCode="0.0%"/>
    <numFmt numFmtId="169" formatCode="0.0%;\-0.0%;&quot;–&quot;"/>
    <numFmt numFmtId="170" formatCode="\+0.0%;\-0.0%;0.0%"/>
    <numFmt numFmtId="171" formatCode="\+0.0&quot; pt&quot;;\-0.0&quot; pt&quot;;0.0&quot; pt&quot;"/>
    <numFmt numFmtId="172" formatCode="\+#,##0\ &quot;€&quot;;\-#,##0\ &quot;€&quot;;0\ &quot;€&quot;"/>
    <numFmt numFmtId="173" formatCode="0&quot; j&quot;;\-0&quot; j&quot;;&quot;–&quot;"/>
    <numFmt numFmtId="174" formatCode="\+0&quot; j&quot;;\-0&quot; j&quot;;0&quot; j&quot;"/>
  </numFmts>
  <fonts count="35" x14ac:knownFonts="1">
    <font>
      <sz val="11"/>
      <color theme="1"/>
      <name val="Calibri"/>
      <family val="2"/>
      <scheme val="minor"/>
    </font>
    <font>
      <i/>
      <sz val="9"/>
      <color rgb="FF55635D"/>
      <name val="Arial"/>
    </font>
    <font>
      <sz val="10"/>
      <color rgb="FF1F4FB4"/>
      <name val="Arial"/>
    </font>
    <font>
      <sz val="10"/>
      <color rgb="FF13211C"/>
      <name val="Arial"/>
    </font>
    <font>
      <b/>
      <sz val="10"/>
      <color rgb="FFFFFFFF"/>
      <name val="Arial"/>
    </font>
    <font>
      <b/>
      <sz val="10"/>
      <color rgb="FF13211C"/>
      <name val="Arial"/>
    </font>
    <font>
      <b/>
      <sz val="14"/>
      <color rgb="FF0A6B4E"/>
      <name val="Arial"/>
    </font>
    <font>
      <sz val="9"/>
      <color rgb="FF55635D"/>
      <name val="Arial"/>
    </font>
    <font>
      <b/>
      <sz val="12"/>
      <color rgb="FF0A6B4E"/>
      <name val="Arial"/>
    </font>
    <font>
      <b/>
      <sz val="12"/>
      <color rgb="FF55635D"/>
      <name val="Arial"/>
    </font>
    <font>
      <b/>
      <sz val="9"/>
      <color rgb="FFFFFFFF"/>
      <name val="Arial"/>
    </font>
    <font>
      <sz val="9"/>
      <color rgb="FF13211C"/>
      <name val="Arial"/>
    </font>
    <font>
      <b/>
      <sz val="11"/>
      <color rgb="FF0A6B4E"/>
      <name val="Arial"/>
    </font>
    <font>
      <b/>
      <sz val="9"/>
      <color rgb="FF13211C"/>
      <name val="Arial"/>
    </font>
    <font>
      <b/>
      <sz val="20"/>
      <color rgb="FF13211C"/>
      <name val="Arial"/>
    </font>
    <font>
      <b/>
      <sz val="11"/>
      <color rgb="FF55635D"/>
      <name val="Arial"/>
    </font>
    <font>
      <b/>
      <sz val="11"/>
      <color rgb="FF13211C"/>
      <name val="Arial"/>
    </font>
    <font>
      <b/>
      <sz val="12"/>
      <color rgb="FF1F4FB4"/>
      <name val="Arial"/>
    </font>
    <font>
      <b/>
      <sz val="9"/>
      <color rgb="FFC2410C"/>
      <name val="Arial"/>
    </font>
    <font>
      <u/>
      <sz val="9"/>
      <color rgb="FF0A6B4E"/>
      <name val="Arial"/>
    </font>
    <font>
      <b/>
      <sz val="9"/>
      <color rgb="FF55635D"/>
      <name val="Arial"/>
    </font>
    <font>
      <b/>
      <sz val="17"/>
      <color rgb="FF13211C"/>
      <name val="Arial"/>
    </font>
    <font>
      <i/>
      <sz val="8"/>
      <color rgb="FF55635D"/>
      <name val="Arial"/>
    </font>
    <font>
      <b/>
      <sz val="12"/>
      <color rgb="FF13211C"/>
      <name val="Arial"/>
    </font>
    <font>
      <u/>
      <sz val="8"/>
      <color rgb="FF0A6B4E"/>
      <name val="Arial"/>
    </font>
    <font>
      <b/>
      <sz val="26"/>
      <color rgb="FF0A6B4E"/>
      <name val="Arial"/>
    </font>
    <font>
      <sz val="11"/>
      <color rgb="FF55635D"/>
      <name val="Arial"/>
    </font>
    <font>
      <b/>
      <sz val="26"/>
      <color rgb="FF13211C"/>
      <name val="Arial"/>
    </font>
    <font>
      <sz val="13"/>
      <color rgb="FF55635D"/>
      <name val="Arial"/>
    </font>
    <font>
      <b/>
      <sz val="14"/>
      <color rgb="FF13211C"/>
      <name val="Arial"/>
    </font>
    <font>
      <sz val="11"/>
      <color rgb="FF13211C"/>
      <name val="Arial"/>
    </font>
    <font>
      <b/>
      <sz val="16"/>
      <color rgb="FFFFFFFF"/>
      <name val="Arial"/>
    </font>
    <font>
      <u/>
      <sz val="11"/>
      <color rgb="FF0A6B4E"/>
      <name val="Arial"/>
    </font>
    <font>
      <b/>
      <sz val="16"/>
      <color rgb="FF0A6B4E"/>
      <name val="Arial"/>
    </font>
    <font>
      <b/>
      <sz val="10"/>
      <color rgb="FFC2410C"/>
      <name val="Arial"/>
    </font>
  </fonts>
  <fills count="9">
    <fill>
      <patternFill patternType="none"/>
    </fill>
    <fill>
      <patternFill patternType="gray125"/>
    </fill>
    <fill>
      <patternFill patternType="solid">
        <fgColor rgb="FF0A6B4E"/>
        <bgColor rgb="FF0A6B4E"/>
      </patternFill>
    </fill>
    <fill>
      <patternFill patternType="solid">
        <fgColor rgb="FFFFF9DB"/>
        <bgColor rgb="FFFFF9DB"/>
      </patternFill>
    </fill>
    <fill>
      <patternFill patternType="solid">
        <fgColor rgb="FF55635D"/>
        <bgColor rgb="FF55635D"/>
      </patternFill>
    </fill>
    <fill>
      <patternFill patternType="solid">
        <fgColor rgb="FFFFF8F0"/>
        <bgColor rgb="FFFFF8F0"/>
      </patternFill>
    </fill>
    <fill>
      <patternFill patternType="solid">
        <fgColor rgb="FFE4F4EA"/>
        <bgColor rgb="FFE4F4EA"/>
      </patternFill>
    </fill>
    <fill>
      <patternFill patternType="solid">
        <fgColor rgb="FFFFF1C2"/>
        <bgColor rgb="FFFFF1C2"/>
      </patternFill>
    </fill>
    <fill>
      <patternFill patternType="solid">
        <fgColor rgb="FFE2ECFA"/>
        <bgColor rgb="FFE2ECFA"/>
      </patternFill>
    </fill>
  </fills>
  <borders count="13">
    <border>
      <left/>
      <right/>
      <top/>
      <bottom/>
      <diagonal/>
    </border>
    <border>
      <left style="thin">
        <color rgb="FFE6E1DA"/>
      </left>
      <right style="thin">
        <color rgb="FFE6E1DA"/>
      </right>
      <top style="thin">
        <color rgb="FFE6E1DA"/>
      </top>
      <bottom style="thin">
        <color rgb="FFE6E1DA"/>
      </bottom>
      <diagonal/>
    </border>
    <border>
      <left style="medium">
        <color rgb="FF0A6B4E"/>
      </left>
      <right style="medium">
        <color rgb="FF0A6B4E"/>
      </right>
      <top style="medium">
        <color rgb="FF0A6B4E"/>
      </top>
      <bottom style="medium">
        <color rgb="FF0A6B4E"/>
      </bottom>
      <diagonal/>
    </border>
    <border>
      <left/>
      <right/>
      <top style="medium">
        <color rgb="FF0A6B4E"/>
      </top>
      <bottom/>
      <diagonal/>
    </border>
    <border>
      <left/>
      <right style="medium">
        <color rgb="FF0A6B4E"/>
      </right>
      <top style="medium">
        <color rgb="FF0A6B4E"/>
      </top>
      <bottom/>
      <diagonal/>
    </border>
    <border>
      <left/>
      <right style="medium">
        <color rgb="FF0A6B4E"/>
      </right>
      <top style="medium">
        <color rgb="FF0A6B4E"/>
      </top>
      <bottom style="medium">
        <color rgb="FF0A6B4E"/>
      </bottom>
      <diagonal/>
    </border>
    <border>
      <left style="thick">
        <color rgb="FF0A6B4E"/>
      </left>
      <right/>
      <top/>
      <bottom/>
      <diagonal/>
    </border>
    <border>
      <left/>
      <right/>
      <top/>
      <bottom style="thin">
        <color rgb="FFE6E1DA"/>
      </bottom>
      <diagonal/>
    </border>
    <border>
      <left/>
      <right/>
      <top/>
      <bottom style="thin">
        <color rgb="FFE6E1DA"/>
      </bottom>
      <diagonal/>
    </border>
    <border>
      <left/>
      <right style="thin">
        <color rgb="FFE6E1DA"/>
      </right>
      <top style="thin">
        <color rgb="FFE6E1DA"/>
      </top>
      <bottom style="thin">
        <color rgb="FFE6E1DA"/>
      </bottom>
      <diagonal/>
    </border>
    <border>
      <left style="medium">
        <color rgb="FF0A6B4E"/>
      </left>
      <right/>
      <top/>
      <bottom style="medium">
        <color rgb="FF0A6B4E"/>
      </bottom>
      <diagonal/>
    </border>
    <border>
      <left/>
      <right/>
      <top/>
      <bottom style="medium">
        <color rgb="FF0A6B4E"/>
      </bottom>
      <diagonal/>
    </border>
    <border>
      <left/>
      <right style="medium">
        <color rgb="FF0A6B4E"/>
      </right>
      <top/>
      <bottom style="medium">
        <color rgb="FF0A6B4E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5" fillId="0" borderId="0" xfId="0" applyFont="1" applyAlignment="1">
      <alignment vertical="center"/>
    </xf>
    <xf numFmtId="0" fontId="26" fillId="0" borderId="0" xfId="0" applyFont="1"/>
    <xf numFmtId="0" fontId="14" fillId="0" borderId="0" xfId="0" applyFont="1"/>
    <xf numFmtId="0" fontId="15" fillId="0" borderId="0" xfId="0" applyFont="1"/>
    <xf numFmtId="0" fontId="1" fillId="0" borderId="0" xfId="0" applyFont="1"/>
    <xf numFmtId="0" fontId="7" fillId="5" borderId="6" xfId="0" applyFont="1" applyFill="1" applyBorder="1" applyAlignment="1">
      <alignment indent="1"/>
    </xf>
    <xf numFmtId="170" fontId="13" fillId="5" borderId="0" xfId="0" applyNumberFormat="1" applyFont="1" applyFill="1" applyAlignment="1">
      <alignment horizontal="right"/>
    </xf>
    <xf numFmtId="171" fontId="13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73" fontId="13" fillId="5" borderId="0" xfId="0" applyNumberFormat="1" applyFont="1" applyFill="1" applyAlignment="1">
      <alignment horizontal="right"/>
    </xf>
    <xf numFmtId="172" fontId="13" fillId="5" borderId="0" xfId="0" applyNumberFormat="1" applyFont="1" applyFill="1" applyAlignment="1">
      <alignment horizontal="right"/>
    </xf>
    <xf numFmtId="174" fontId="13" fillId="5" borderId="0" xfId="0" applyNumberFormat="1" applyFont="1" applyFill="1" applyAlignment="1">
      <alignment horizontal="right"/>
    </xf>
    <xf numFmtId="0" fontId="0" fillId="5" borderId="6" xfId="0" applyFill="1" applyBorder="1"/>
    <xf numFmtId="0" fontId="0" fillId="5" borderId="0" xfId="0" applyFill="1"/>
    <xf numFmtId="0" fontId="23" fillId="0" borderId="0" xfId="0" applyFont="1"/>
    <xf numFmtId="0" fontId="10" fillId="2" borderId="1" xfId="0" applyFont="1" applyFill="1" applyBorder="1" applyAlignment="1">
      <alignment horizontal="center" vertical="center" wrapText="1"/>
    </xf>
    <xf numFmtId="1" fontId="11" fillId="0" borderId="7" xfId="0" applyNumberFormat="1" applyFont="1" applyBorder="1" applyAlignment="1">
      <alignment horizontal="right"/>
    </xf>
    <xf numFmtId="167" fontId="11" fillId="0" borderId="7" xfId="0" applyNumberFormat="1" applyFont="1" applyBorder="1" applyAlignment="1">
      <alignment horizontal="right"/>
    </xf>
    <xf numFmtId="169" fontId="11" fillId="0" borderId="7" xfId="0" applyNumberFormat="1" applyFont="1" applyBorder="1" applyAlignment="1">
      <alignment horizontal="right"/>
    </xf>
    <xf numFmtId="170" fontId="11" fillId="0" borderId="7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24" fillId="0" borderId="0" xfId="0" applyFont="1"/>
    <xf numFmtId="14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4" fontId="3" fillId="0" borderId="0" xfId="0" applyNumberFormat="1" applyFont="1"/>
    <xf numFmtId="165" fontId="3" fillId="0" borderId="0" xfId="0" applyNumberFormat="1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6" fontId="5" fillId="0" borderId="1" xfId="0" applyNumberFormat="1" applyFont="1" applyBorder="1"/>
    <xf numFmtId="167" fontId="2" fillId="3" borderId="1" xfId="0" applyNumberFormat="1" applyFont="1" applyFill="1" applyBorder="1"/>
    <xf numFmtId="0" fontId="6" fillId="0" borderId="0" xfId="0" applyFont="1"/>
    <xf numFmtId="0" fontId="5" fillId="0" borderId="0" xfId="0" applyFont="1"/>
    <xf numFmtId="0" fontId="2" fillId="3" borderId="1" xfId="0" applyFont="1" applyFill="1" applyBorder="1"/>
    <xf numFmtId="0" fontId="7" fillId="0" borderId="0" xfId="0" applyFont="1"/>
    <xf numFmtId="14" fontId="2" fillId="3" borderId="1" xfId="0" applyNumberFormat="1" applyFont="1" applyFill="1" applyBorder="1"/>
    <xf numFmtId="168" fontId="2" fillId="3" borderId="1" xfId="0" applyNumberFormat="1" applyFont="1" applyFill="1" applyBorder="1"/>
    <xf numFmtId="1" fontId="2" fillId="3" borderId="1" xfId="0" applyNumberFormat="1" applyFont="1" applyFill="1" applyBorder="1"/>
    <xf numFmtId="0" fontId="8" fillId="0" borderId="0" xfId="0" applyFont="1"/>
    <xf numFmtId="167" fontId="5" fillId="0" borderId="1" xfId="0" applyNumberFormat="1" applyFont="1" applyBorder="1"/>
    <xf numFmtId="0" fontId="4" fillId="2" borderId="1" xfId="0" applyFont="1" applyFill="1" applyBorder="1"/>
    <xf numFmtId="0" fontId="5" fillId="0" borderId="1" xfId="0" applyFont="1" applyBorder="1"/>
    <xf numFmtId="0" fontId="9" fillId="0" borderId="0" xfId="0" applyFont="1"/>
    <xf numFmtId="14" fontId="3" fillId="0" borderId="0" xfId="0" applyNumberFormat="1" applyFont="1"/>
    <xf numFmtId="0" fontId="10" fillId="4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165" fontId="11" fillId="0" borderId="1" xfId="0" applyNumberFormat="1" applyFont="1" applyBorder="1"/>
    <xf numFmtId="3" fontId="11" fillId="0" borderId="1" xfId="0" applyNumberFormat="1" applyFont="1" applyBorder="1"/>
    <xf numFmtId="169" fontId="11" fillId="0" borderId="1" xfId="0" applyNumberFormat="1" applyFont="1" applyBorder="1"/>
    <xf numFmtId="1" fontId="11" fillId="0" borderId="1" xfId="0" applyNumberFormat="1" applyFont="1" applyBorder="1"/>
    <xf numFmtId="0" fontId="12" fillId="0" borderId="0" xfId="0" applyFont="1"/>
    <xf numFmtId="0" fontId="13" fillId="0" borderId="0" xfId="0" applyFont="1"/>
    <xf numFmtId="167" fontId="11" fillId="0" borderId="1" xfId="0" applyNumberFormat="1" applyFont="1" applyBorder="1"/>
    <xf numFmtId="170" fontId="11" fillId="0" borderId="1" xfId="0" applyNumberFormat="1" applyFont="1" applyBorder="1"/>
    <xf numFmtId="171" fontId="11" fillId="0" borderId="1" xfId="0" applyNumberFormat="1" applyFont="1" applyBorder="1"/>
    <xf numFmtId="0" fontId="10" fillId="4" borderId="1" xfId="0" applyFont="1" applyFill="1" applyBorder="1"/>
    <xf numFmtId="0" fontId="11" fillId="0" borderId="0" xfId="0" applyFont="1"/>
    <xf numFmtId="3" fontId="11" fillId="0" borderId="0" xfId="0" applyNumberFormat="1" applyFont="1"/>
    <xf numFmtId="169" fontId="13" fillId="0" borderId="0" xfId="0" applyNumberFormat="1" applyFont="1"/>
    <xf numFmtId="0" fontId="3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0" fillId="6" borderId="0" xfId="0" applyFont="1" applyFill="1" applyAlignment="1">
      <alignment vertical="top" wrapText="1" indent="1"/>
    </xf>
    <xf numFmtId="0" fontId="29" fillId="6" borderId="0" xfId="0" applyFont="1" applyFill="1" applyAlignment="1">
      <alignment vertical="center" indent="1"/>
    </xf>
    <xf numFmtId="0" fontId="30" fillId="7" borderId="0" xfId="0" applyFont="1" applyFill="1" applyAlignment="1">
      <alignment vertical="top" wrapText="1" indent="1"/>
    </xf>
    <xf numFmtId="0" fontId="30" fillId="8" borderId="0" xfId="0" applyFont="1" applyFill="1" applyAlignment="1">
      <alignment vertical="top" wrapText="1" indent="1"/>
    </xf>
    <xf numFmtId="0" fontId="29" fillId="7" borderId="0" xfId="0" applyFont="1" applyFill="1" applyAlignment="1">
      <alignment vertical="center" indent="1"/>
    </xf>
    <xf numFmtId="0" fontId="27" fillId="0" borderId="0" xfId="0" applyFont="1" applyAlignment="1">
      <alignment vertical="center" wrapText="1"/>
    </xf>
    <xf numFmtId="0" fontId="29" fillId="8" borderId="0" xfId="0" applyFont="1" applyFill="1" applyAlignment="1">
      <alignment vertical="center" indent="1"/>
    </xf>
    <xf numFmtId="0" fontId="1" fillId="0" borderId="0" xfId="0" applyFont="1" applyAlignment="1">
      <alignment vertical="top" wrapText="1"/>
    </xf>
    <xf numFmtId="0" fontId="31" fillId="2" borderId="0" xfId="0" applyFont="1" applyFill="1" applyAlignment="1">
      <alignment horizontal="center" vertical="center" wrapText="1"/>
    </xf>
    <xf numFmtId="0" fontId="32" fillId="0" borderId="0" xfId="0" applyFont="1"/>
    <xf numFmtId="0" fontId="5" fillId="5" borderId="6" xfId="0" applyFont="1" applyFill="1" applyBorder="1" applyAlignment="1">
      <alignment horizontal="center" vertical="center" wrapText="1"/>
    </xf>
    <xf numFmtId="167" fontId="21" fillId="5" borderId="6" xfId="0" applyNumberFormat="1" applyFont="1" applyFill="1" applyBorder="1" applyAlignment="1">
      <alignment horizontal="left" vertical="center" indent="1"/>
    </xf>
    <xf numFmtId="173" fontId="21" fillId="5" borderId="6" xfId="0" applyNumberFormat="1" applyFont="1" applyFill="1" applyBorder="1" applyAlignment="1">
      <alignment horizontal="left" vertical="center" indent="1"/>
    </xf>
    <xf numFmtId="0" fontId="3" fillId="0" borderId="0" xfId="0" applyFont="1" applyAlignment="1">
      <alignment vertical="center" wrapText="1" indent="1"/>
    </xf>
    <xf numFmtId="0" fontId="20" fillId="5" borderId="6" xfId="0" applyFont="1" applyFill="1" applyBorder="1" applyAlignment="1">
      <alignment horizontal="left" vertical="center" wrapText="1" indent="1"/>
    </xf>
    <xf numFmtId="0" fontId="11" fillId="0" borderId="7" xfId="0" applyFont="1" applyBorder="1"/>
    <xf numFmtId="0" fontId="0" fillId="0" borderId="8" xfId="0" applyBorder="1"/>
    <xf numFmtId="169" fontId="21" fillId="5" borderId="6" xfId="0" applyNumberFormat="1" applyFont="1" applyFill="1" applyBorder="1" applyAlignment="1">
      <alignment horizontal="left" vertical="center" indent="1"/>
    </xf>
    <xf numFmtId="0" fontId="1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22" fillId="0" borderId="0" xfId="0" applyFont="1" applyAlignment="1">
      <alignment vertical="top" wrapText="1"/>
    </xf>
    <xf numFmtId="0" fontId="0" fillId="2" borderId="1" xfId="0" applyFill="1" applyBorder="1"/>
    <xf numFmtId="0" fontId="18" fillId="0" borderId="0" xfId="0" applyFont="1"/>
    <xf numFmtId="0" fontId="22" fillId="0" borderId="0" xfId="0" applyFont="1"/>
    <xf numFmtId="0" fontId="17" fillId="3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1" fillId="0" borderId="0" xfId="0" applyFont="1"/>
    <xf numFmtId="0" fontId="16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7">
    <dxf>
      <font>
        <b/>
        <color rgb="FFC2410C"/>
        <name val="Arial"/>
      </font>
      <fill>
        <patternFill patternType="solid">
          <fgColor rgb="FFFFEDE3"/>
          <bgColor rgb="FFFFEDE3"/>
        </patternFill>
      </fill>
    </dxf>
    <dxf>
      <font>
        <b/>
        <color rgb="FFC2410C"/>
        <name val="Arial"/>
      </font>
      <fill>
        <patternFill patternType="solid">
          <fgColor rgb="FFFFEDE3"/>
          <bgColor rgb="FFFFEDE3"/>
        </patternFill>
      </fill>
    </dxf>
    <dxf>
      <font>
        <b/>
        <color rgb="FF6B4E00"/>
        <name val="Arial"/>
      </font>
      <fill>
        <patternFill patternType="solid">
          <fgColor rgb="FFFFF1C2"/>
          <bgColor rgb="FFFFF1C2"/>
        </patternFill>
      </fill>
    </dxf>
    <dxf>
      <font>
        <b/>
        <color rgb="FF0A6B4E"/>
        <name val="Arial"/>
      </font>
      <fill>
        <patternFill patternType="solid">
          <fgColor rgb="FFE3F1EA"/>
          <bgColor rgb="FFE3F1EA"/>
        </patternFill>
      </fill>
    </dxf>
    <dxf>
      <font>
        <b/>
        <color rgb="FFC2410C"/>
        <name val="Arial"/>
      </font>
      <fill>
        <patternFill patternType="solid">
          <fgColor rgb="FFFFEDE3"/>
          <bgColor rgb="FFFFEDE3"/>
        </patternFill>
      </fill>
    </dxf>
    <dxf>
      <font>
        <b/>
        <color rgb="FF6B4E00"/>
        <name val="Arial"/>
      </font>
      <fill>
        <patternFill patternType="solid">
          <fgColor rgb="FFFFF1C2"/>
          <bgColor rgb="FFFFF1C2"/>
        </patternFill>
      </fill>
    </dxf>
    <dxf>
      <font>
        <b/>
        <color rgb="FF0A6B4E"/>
        <name val="Arial"/>
      </font>
      <fill>
        <patternFill patternType="solid">
          <fgColor rgb="FFE3F1EA"/>
          <bgColor rgb="FFE3F1E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>
                <a:solidFill>
                  <a:srgbClr val="13211C"/>
                </a:solidFill>
                <a:latin typeface="Arial"/>
              </a:defRPr>
            </a:pPr>
            <a:r>
              <a:rPr lang="fr-FR" sz="1100" b="1">
                <a:solidFill>
                  <a:srgbClr val="13211C"/>
                </a:solidFill>
                <a:latin typeface="Arial"/>
              </a:rPr>
              <a:t>CA mensuel HT : réalisé, budget et N-1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Calculs!$F$9</c:f>
              <c:strCache>
                <c:ptCount val="1"/>
                <c:pt idx="0">
                  <c:v>CA HT N</c:v>
                </c:pt>
              </c:strCache>
            </c:strRef>
          </c:tx>
          <c:spPr>
            <a:solidFill>
              <a:srgbClr val="0A6B4E"/>
            </a:solidFill>
            <a:ln>
              <a:solidFill>
                <a:srgbClr val="0A6B4E"/>
              </a:solidFill>
              <a:prstDash val="solid"/>
            </a:ln>
          </c:spPr>
          <c:invertIfNegative val="0"/>
          <c:cat>
            <c:strRef>
              <c:f>Calculs!$C$10:$C$21</c:f>
              <c:strCache>
                <c:ptCount val="12"/>
                <c:pt idx="0">
                  <c:v>janv. 2026</c:v>
                </c:pt>
                <c:pt idx="1">
                  <c:v>févr. 2026</c:v>
                </c:pt>
                <c:pt idx="2">
                  <c:v>mars 2026</c:v>
                </c:pt>
                <c:pt idx="3">
                  <c:v>avr. 2026</c:v>
                </c:pt>
                <c:pt idx="4">
                  <c:v>mai 2026</c:v>
                </c:pt>
                <c:pt idx="5">
                  <c:v>juin 2026</c:v>
                </c:pt>
                <c:pt idx="6">
                  <c:v>juil. 2026</c:v>
                </c:pt>
                <c:pt idx="7">
                  <c:v>août 2026</c:v>
                </c:pt>
                <c:pt idx="8">
                  <c:v>sept. 2026</c:v>
                </c:pt>
                <c:pt idx="9">
                  <c:v>oct. 2026</c:v>
                </c:pt>
                <c:pt idx="10">
                  <c:v>nov. 2026</c:v>
                </c:pt>
                <c:pt idx="11">
                  <c:v>déc. 2026</c:v>
                </c:pt>
              </c:strCache>
            </c:strRef>
          </c:cat>
          <c:val>
            <c:numRef>
              <c:f>Calculs!$F$10:$F$21</c:f>
              <c:numCache>
                <c:formatCode>#,##0</c:formatCode>
                <c:ptCount val="12"/>
                <c:pt idx="0">
                  <c:v>167529.90999999997</c:v>
                </c:pt>
                <c:pt idx="1">
                  <c:v>180547.36000000002</c:v>
                </c:pt>
                <c:pt idx="2">
                  <c:v>208572.75</c:v>
                </c:pt>
                <c:pt idx="3">
                  <c:v>205412.87</c:v>
                </c:pt>
                <c:pt idx="4">
                  <c:v>221915.86</c:v>
                </c:pt>
                <c:pt idx="5">
                  <c:v>204192.12000000002</c:v>
                </c:pt>
                <c:pt idx="6">
                  <c:v>181747.94</c:v>
                </c:pt>
                <c:pt idx="7">
                  <c:v>111761.47999999997</c:v>
                </c:pt>
                <c:pt idx="8">
                  <c:v>195924.78999999998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32-4A80-9013-5E795ABFF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lineChart>
        <c:grouping val="standard"/>
        <c:varyColors val="0"/>
        <c:ser>
          <c:idx val="1"/>
          <c:order val="1"/>
          <c:tx>
            <c:strRef>
              <c:f>Calculs!$H$9</c:f>
              <c:strCache>
                <c:ptCount val="1"/>
                <c:pt idx="0">
                  <c:v>Budget CA HT</c:v>
                </c:pt>
              </c:strCache>
            </c:strRef>
          </c:tx>
          <c:spPr>
            <a:ln w="22000">
              <a:solidFill>
                <a:srgbClr val="13211C"/>
              </a:solidFill>
              <a:prstDash val="dash"/>
            </a:ln>
          </c:spPr>
          <c:marker>
            <c:symbol val="none"/>
          </c:marker>
          <c:val>
            <c:numRef>
              <c:f>Calculs!$H$10:$H$21</c:f>
              <c:numCache>
                <c:formatCode>#,##0</c:formatCode>
                <c:ptCount val="12"/>
                <c:pt idx="0">
                  <c:v>163000</c:v>
                </c:pt>
                <c:pt idx="1">
                  <c:v>179000</c:v>
                </c:pt>
                <c:pt idx="2">
                  <c:v>202000</c:v>
                </c:pt>
                <c:pt idx="3">
                  <c:v>211000</c:v>
                </c:pt>
                <c:pt idx="4">
                  <c:v>219000</c:v>
                </c:pt>
                <c:pt idx="5">
                  <c:v>210000</c:v>
                </c:pt>
                <c:pt idx="6">
                  <c:v>186000</c:v>
                </c:pt>
                <c:pt idx="7">
                  <c:v>121000</c:v>
                </c:pt>
                <c:pt idx="8">
                  <c:v>207000</c:v>
                </c:pt>
                <c:pt idx="9">
                  <c:v>225000</c:v>
                </c:pt>
                <c:pt idx="10">
                  <c:v>201000</c:v>
                </c:pt>
                <c:pt idx="11">
                  <c:v>183000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32-4A80-9013-5E795ABFF54B}"/>
            </c:ext>
          </c:extLst>
        </c:ser>
        <c:ser>
          <c:idx val="2"/>
          <c:order val="2"/>
          <c:tx>
            <c:strRef>
              <c:f>Calculs!$G$9</c:f>
              <c:strCache>
                <c:ptCount val="1"/>
                <c:pt idx="0">
                  <c:v>CA HT N-1</c:v>
                </c:pt>
              </c:strCache>
            </c:strRef>
          </c:tx>
          <c:spPr>
            <a:ln w="22000">
              <a:solidFill>
                <a:srgbClr val="9AA5A0"/>
              </a:solidFill>
              <a:prstDash val="solid"/>
            </a:ln>
          </c:spPr>
          <c:marker>
            <c:symbol val="none"/>
          </c:marker>
          <c:val>
            <c:numRef>
              <c:f>Calculs!$G$10:$G$21</c:f>
              <c:numCache>
                <c:formatCode>#,##0</c:formatCode>
                <c:ptCount val="12"/>
                <c:pt idx="0">
                  <c:v>151164.65</c:v>
                </c:pt>
                <c:pt idx="1">
                  <c:v>165455.80000000002</c:v>
                </c:pt>
                <c:pt idx="2">
                  <c:v>186769.45</c:v>
                </c:pt>
                <c:pt idx="3">
                  <c:v>195305.56</c:v>
                </c:pt>
                <c:pt idx="4">
                  <c:v>202658.15999999997</c:v>
                </c:pt>
                <c:pt idx="5">
                  <c:v>194571.71999999997</c:v>
                </c:pt>
                <c:pt idx="6">
                  <c:v>172006.53999999998</c:v>
                </c:pt>
                <c:pt idx="7">
                  <c:v>112378.39</c:v>
                </c:pt>
                <c:pt idx="8">
                  <c:v>191565.63999999996</c:v>
                </c:pt>
                <c:pt idx="9">
                  <c:v>208431.83000000002</c:v>
                </c:pt>
                <c:pt idx="10">
                  <c:v>185772.37000000002</c:v>
                </c:pt>
                <c:pt idx="11">
                  <c:v>169867.70999999996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32-4A80-9013-5E795ABFF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="0">
                <a:solidFill>
                  <a:srgbClr val="55635D"/>
                </a:solidFill>
                <a:latin typeface="Arial"/>
              </a:defRPr>
            </a:pPr>
            <a:endParaRPr lang="fr-FR"/>
          </a:p>
        </c:txPr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6E1DA"/>
              </a:solidFill>
              <a:prstDash val="solid"/>
            </a:ln>
          </c:spPr>
        </c:majorGridlines>
        <c:numFmt formatCode="#,##0,&quot; k€&quot;" sourceLinked="0"/>
        <c:majorTickMark val="none"/>
        <c:minorTickMark val="none"/>
        <c:tickLblPos val="nextTo"/>
        <c:txPr>
          <a:bodyPr/>
          <a:lstStyle/>
          <a:p>
            <a:pPr>
              <a:defRPr sz="800" b="0">
                <a:solidFill>
                  <a:srgbClr val="55635D"/>
                </a:solidFill>
                <a:latin typeface="Arial"/>
              </a:defRPr>
            </a:pPr>
            <a:endParaRPr lang="fr-FR"/>
          </a:p>
        </c:txPr>
        <c:crossAx val="1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800" b="0">
              <a:solidFill>
                <a:srgbClr val="55635D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>
                <a:solidFill>
                  <a:srgbClr val="13211C"/>
                </a:solidFill>
                <a:latin typeface="Arial"/>
              </a:defRPr>
            </a:pPr>
            <a:r>
              <a:rPr lang="fr-FR" sz="1100" b="1">
                <a:solidFill>
                  <a:srgbClr val="13211C"/>
                </a:solidFill>
                <a:latin typeface="Arial"/>
              </a:rPr>
              <a:t>Taux de marge brute et objectif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Calculs!$K$9</c:f>
              <c:strCache>
                <c:ptCount val="1"/>
                <c:pt idx="0">
                  <c:v>Taux de marge N</c:v>
                </c:pt>
              </c:strCache>
            </c:strRef>
          </c:tx>
          <c:spPr>
            <a:solidFill>
              <a:srgbClr val="0A6B4E"/>
            </a:solidFill>
            <a:ln>
              <a:solidFill>
                <a:srgbClr val="0A6B4E"/>
              </a:solidFill>
              <a:prstDash val="solid"/>
            </a:ln>
          </c:spPr>
          <c:invertIfNegative val="0"/>
          <c:cat>
            <c:strRef>
              <c:f>Calculs!$C$10:$C$21</c:f>
              <c:strCache>
                <c:ptCount val="12"/>
                <c:pt idx="0">
                  <c:v>janv. 2026</c:v>
                </c:pt>
                <c:pt idx="1">
                  <c:v>févr. 2026</c:v>
                </c:pt>
                <c:pt idx="2">
                  <c:v>mars 2026</c:v>
                </c:pt>
                <c:pt idx="3">
                  <c:v>avr. 2026</c:v>
                </c:pt>
                <c:pt idx="4">
                  <c:v>mai 2026</c:v>
                </c:pt>
                <c:pt idx="5">
                  <c:v>juin 2026</c:v>
                </c:pt>
                <c:pt idx="6">
                  <c:v>juil. 2026</c:v>
                </c:pt>
                <c:pt idx="7">
                  <c:v>août 2026</c:v>
                </c:pt>
                <c:pt idx="8">
                  <c:v>sept. 2026</c:v>
                </c:pt>
                <c:pt idx="9">
                  <c:v>oct. 2026</c:v>
                </c:pt>
                <c:pt idx="10">
                  <c:v>nov. 2026</c:v>
                </c:pt>
                <c:pt idx="11">
                  <c:v>déc. 2026</c:v>
                </c:pt>
              </c:strCache>
            </c:strRef>
          </c:cat>
          <c:val>
            <c:numRef>
              <c:f>Calculs!$K$10:$K$21</c:f>
              <c:numCache>
                <c:formatCode>0.0%;\-0.0%;"–"</c:formatCode>
                <c:ptCount val="12"/>
                <c:pt idx="0">
                  <c:v>0.34469009145889234</c:v>
                </c:pt>
                <c:pt idx="1">
                  <c:v>0.34104198477341352</c:v>
                </c:pt>
                <c:pt idx="2">
                  <c:v>0.34536170233168062</c:v>
                </c:pt>
                <c:pt idx="3">
                  <c:v>0.34211020955016108</c:v>
                </c:pt>
                <c:pt idx="4">
                  <c:v>0.31872625057082449</c:v>
                </c:pt>
                <c:pt idx="5">
                  <c:v>0.32054924548508529</c:v>
                </c:pt>
                <c:pt idx="6">
                  <c:v>0.32298385335206586</c:v>
                </c:pt>
                <c:pt idx="7">
                  <c:v>0.31908238867273392</c:v>
                </c:pt>
                <c:pt idx="8">
                  <c:v>0.31956384896469719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BD-4376-BB38-DB90BE596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lineChart>
        <c:grouping val="standard"/>
        <c:varyColors val="0"/>
        <c:ser>
          <c:idx val="1"/>
          <c:order val="1"/>
          <c:tx>
            <c:strRef>
              <c:f>Calculs!$L$9</c:f>
              <c:strCache>
                <c:ptCount val="1"/>
                <c:pt idx="0">
                  <c:v>Objectif taux</c:v>
                </c:pt>
              </c:strCache>
            </c:strRef>
          </c:tx>
          <c:spPr>
            <a:ln w="22000">
              <a:solidFill>
                <a:srgbClr val="13211C"/>
              </a:solidFill>
              <a:prstDash val="dash"/>
            </a:ln>
          </c:spPr>
          <c:marker>
            <c:symbol val="none"/>
          </c:marker>
          <c:val>
            <c:numRef>
              <c:f>Calculs!$L$10:$L$21</c:f>
              <c:numCache>
                <c:formatCode>0.0%;\-0.0%;"–"</c:formatCode>
                <c:ptCount val="12"/>
                <c:pt idx="0">
                  <c:v>0.33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  <c:pt idx="6">
                  <c:v>0.33</c:v>
                </c:pt>
                <c:pt idx="7">
                  <c:v>0.33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BD-4376-BB38-DB90BE596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="0">
                <a:solidFill>
                  <a:srgbClr val="55635D"/>
                </a:solidFill>
                <a:latin typeface="Arial"/>
              </a:defRPr>
            </a:pPr>
            <a:endParaRPr lang="fr-FR"/>
          </a:p>
        </c:txPr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6E1DA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800" b="0">
                <a:solidFill>
                  <a:srgbClr val="55635D"/>
                </a:solidFill>
                <a:latin typeface="Arial"/>
              </a:defRPr>
            </a:pPr>
            <a:endParaRPr lang="fr-FR"/>
          </a:p>
        </c:txPr>
        <c:crossAx val="1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800" b="0">
              <a:solidFill>
                <a:srgbClr val="55635D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>
                <a:solidFill>
                  <a:srgbClr val="13211C"/>
                </a:solidFill>
                <a:latin typeface="Arial"/>
              </a:defRPr>
            </a:pPr>
            <a:r>
              <a:rPr lang="fr-FR" sz="1100" b="1">
                <a:solidFill>
                  <a:srgbClr val="13211C"/>
                </a:solidFill>
                <a:latin typeface="Arial"/>
              </a:rPr>
              <a:t>Trésorerie fin de mois et seuil d’alerte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Calculs!$R$9</c:f>
              <c:strCache>
                <c:ptCount val="1"/>
                <c:pt idx="0">
                  <c:v>Trésorerie fin de mois</c:v>
                </c:pt>
              </c:strCache>
            </c:strRef>
          </c:tx>
          <c:spPr>
            <a:solidFill>
              <a:srgbClr val="0A6B4E"/>
            </a:solidFill>
            <a:ln>
              <a:solidFill>
                <a:srgbClr val="0A6B4E"/>
              </a:solidFill>
              <a:prstDash val="solid"/>
            </a:ln>
          </c:spPr>
          <c:invertIfNegative val="0"/>
          <c:cat>
            <c:strRef>
              <c:f>Calculs!$C$10:$C$21</c:f>
              <c:strCache>
                <c:ptCount val="12"/>
                <c:pt idx="0">
                  <c:v>janv. 2026</c:v>
                </c:pt>
                <c:pt idx="1">
                  <c:v>févr. 2026</c:v>
                </c:pt>
                <c:pt idx="2">
                  <c:v>mars 2026</c:v>
                </c:pt>
                <c:pt idx="3">
                  <c:v>avr. 2026</c:v>
                </c:pt>
                <c:pt idx="4">
                  <c:v>mai 2026</c:v>
                </c:pt>
                <c:pt idx="5">
                  <c:v>juin 2026</c:v>
                </c:pt>
                <c:pt idx="6">
                  <c:v>juil. 2026</c:v>
                </c:pt>
                <c:pt idx="7">
                  <c:v>août 2026</c:v>
                </c:pt>
                <c:pt idx="8">
                  <c:v>sept. 2026</c:v>
                </c:pt>
                <c:pt idx="9">
                  <c:v>oct. 2026</c:v>
                </c:pt>
                <c:pt idx="10">
                  <c:v>nov. 2026</c:v>
                </c:pt>
                <c:pt idx="11">
                  <c:v>déc. 2026</c:v>
                </c:pt>
              </c:strCache>
            </c:strRef>
          </c:cat>
          <c:val>
            <c:numRef>
              <c:f>Calculs!$R$10:$R$21</c:f>
              <c:numCache>
                <c:formatCode>#,##0</c:formatCode>
                <c:ptCount val="12"/>
                <c:pt idx="0">
                  <c:v>167124</c:v>
                </c:pt>
                <c:pt idx="1">
                  <c:v>161138</c:v>
                </c:pt>
                <c:pt idx="2">
                  <c:v>150523</c:v>
                </c:pt>
                <c:pt idx="3">
                  <c:v>150399</c:v>
                </c:pt>
                <c:pt idx="4">
                  <c:v>144459</c:v>
                </c:pt>
                <c:pt idx="5">
                  <c:v>128782</c:v>
                </c:pt>
                <c:pt idx="6">
                  <c:v>112357</c:v>
                </c:pt>
                <c:pt idx="7">
                  <c:v>79110</c:v>
                </c:pt>
                <c:pt idx="8">
                  <c:v>69773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3-48D1-A38D-560902122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lineChart>
        <c:grouping val="standard"/>
        <c:varyColors val="0"/>
        <c:ser>
          <c:idx val="1"/>
          <c:order val="1"/>
          <c:tx>
            <c:strRef>
              <c:f>Calculs!$V$9</c:f>
              <c:strCache>
                <c:ptCount val="1"/>
                <c:pt idx="0">
                  <c:v>Seuil trésorerie</c:v>
                </c:pt>
              </c:strCache>
            </c:strRef>
          </c:tx>
          <c:spPr>
            <a:ln w="22000">
              <a:solidFill>
                <a:srgbClr val="C2410C"/>
              </a:solidFill>
              <a:prstDash val="dash"/>
            </a:ln>
          </c:spPr>
          <c:marker>
            <c:symbol val="none"/>
          </c:marker>
          <c:val>
            <c:numRef>
              <c:f>Calculs!$V$10:$V$21</c:f>
              <c:numCache>
                <c:formatCode>#,##0</c:formatCode>
                <c:ptCount val="12"/>
                <c:pt idx="0">
                  <c:v>60000</c:v>
                </c:pt>
                <c:pt idx="1">
                  <c:v>60000</c:v>
                </c:pt>
                <c:pt idx="2">
                  <c:v>60000</c:v>
                </c:pt>
                <c:pt idx="3">
                  <c:v>60000</c:v>
                </c:pt>
                <c:pt idx="4">
                  <c:v>60000</c:v>
                </c:pt>
                <c:pt idx="5">
                  <c:v>60000</c:v>
                </c:pt>
                <c:pt idx="6">
                  <c:v>60000</c:v>
                </c:pt>
                <c:pt idx="7">
                  <c:v>60000</c:v>
                </c:pt>
                <c:pt idx="8">
                  <c:v>60000</c:v>
                </c:pt>
                <c:pt idx="9">
                  <c:v>60000</c:v>
                </c:pt>
                <c:pt idx="10">
                  <c:v>60000</c:v>
                </c:pt>
                <c:pt idx="11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23-48D1-A38D-560902122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="0">
                <a:solidFill>
                  <a:srgbClr val="55635D"/>
                </a:solidFill>
                <a:latin typeface="Arial"/>
              </a:defRPr>
            </a:pPr>
            <a:endParaRPr lang="fr-FR"/>
          </a:p>
        </c:txPr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6E1DA"/>
              </a:solidFill>
              <a:prstDash val="solid"/>
            </a:ln>
          </c:spPr>
        </c:majorGridlines>
        <c:numFmt formatCode="#,##0,&quot; k€&quot;" sourceLinked="0"/>
        <c:majorTickMark val="none"/>
        <c:minorTickMark val="none"/>
        <c:tickLblPos val="nextTo"/>
        <c:txPr>
          <a:bodyPr/>
          <a:lstStyle/>
          <a:p>
            <a:pPr>
              <a:defRPr sz="800" b="0">
                <a:solidFill>
                  <a:srgbClr val="55635D"/>
                </a:solidFill>
                <a:latin typeface="Arial"/>
              </a:defRPr>
            </a:pPr>
            <a:endParaRPr lang="fr-FR"/>
          </a:p>
        </c:txPr>
        <c:crossAx val="1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800" b="0">
              <a:solidFill>
                <a:srgbClr val="55635D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>
                <a:solidFill>
                  <a:srgbClr val="13211C"/>
                </a:solidFill>
                <a:latin typeface="Arial"/>
              </a:defRPr>
            </a:pPr>
            <a:r>
              <a:rPr lang="fr-FR" sz="1100" b="1">
                <a:solidFill>
                  <a:srgbClr val="13211C"/>
                </a:solidFill>
                <a:latin typeface="Arial"/>
              </a:rPr>
              <a:t>Délai de paiement clients (jours)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Calculs!$U$9</c:f>
              <c:strCache>
                <c:ptCount val="1"/>
                <c:pt idx="0">
                  <c:v>Délai clients (j)</c:v>
                </c:pt>
              </c:strCache>
            </c:strRef>
          </c:tx>
          <c:spPr>
            <a:solidFill>
              <a:srgbClr val="0A6B4E"/>
            </a:solidFill>
            <a:ln>
              <a:solidFill>
                <a:srgbClr val="0A6B4E"/>
              </a:solidFill>
              <a:prstDash val="solid"/>
            </a:ln>
          </c:spPr>
          <c:invertIfNegative val="0"/>
          <c:cat>
            <c:strRef>
              <c:f>Calculs!$C$10:$C$21</c:f>
              <c:strCache>
                <c:ptCount val="12"/>
                <c:pt idx="0">
                  <c:v>janv. 2026</c:v>
                </c:pt>
                <c:pt idx="1">
                  <c:v>févr. 2026</c:v>
                </c:pt>
                <c:pt idx="2">
                  <c:v>mars 2026</c:v>
                </c:pt>
                <c:pt idx="3">
                  <c:v>avr. 2026</c:v>
                </c:pt>
                <c:pt idx="4">
                  <c:v>mai 2026</c:v>
                </c:pt>
                <c:pt idx="5">
                  <c:v>juin 2026</c:v>
                </c:pt>
                <c:pt idx="6">
                  <c:v>juil. 2026</c:v>
                </c:pt>
                <c:pt idx="7">
                  <c:v>août 2026</c:v>
                </c:pt>
                <c:pt idx="8">
                  <c:v>sept. 2026</c:v>
                </c:pt>
                <c:pt idx="9">
                  <c:v>oct. 2026</c:v>
                </c:pt>
                <c:pt idx="10">
                  <c:v>nov. 2026</c:v>
                </c:pt>
                <c:pt idx="11">
                  <c:v>déc. 2026</c:v>
                </c:pt>
              </c:strCache>
            </c:strRef>
          </c:cat>
          <c:val>
            <c:numRef>
              <c:f>Calculs!$U$10:$U$21</c:f>
              <c:numCache>
                <c:formatCode>0</c:formatCode>
                <c:ptCount val="12"/>
                <c:pt idx="0">
                  <c:v>46.003212072619064</c:v>
                </c:pt>
                <c:pt idx="1">
                  <c:v>47.003061985464171</c:v>
                </c:pt>
                <c:pt idx="2">
                  <c:v>46.995417336013041</c:v>
                </c:pt>
                <c:pt idx="3">
                  <c:v>47.999860327344649</c:v>
                </c:pt>
                <c:pt idx="4">
                  <c:v>49.995952203162041</c:v>
                </c:pt>
                <c:pt idx="5">
                  <c:v>52.005408847546356</c:v>
                </c:pt>
                <c:pt idx="6">
                  <c:v>54.005396541996333</c:v>
                </c:pt>
                <c:pt idx="7">
                  <c:v>57.007056879912405</c:v>
                </c:pt>
                <c:pt idx="8">
                  <c:v>58.000645275694978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7-49B9-BF38-8A581644B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lineChart>
        <c:grouping val="standard"/>
        <c:varyColors val="0"/>
        <c:ser>
          <c:idx val="1"/>
          <c:order val="1"/>
          <c:tx>
            <c:strRef>
              <c:f>Calculs!$W$9</c:f>
              <c:strCache>
                <c:ptCount val="1"/>
                <c:pt idx="0">
                  <c:v>Objectif délai (j)</c:v>
                </c:pt>
              </c:strCache>
            </c:strRef>
          </c:tx>
          <c:spPr>
            <a:ln w="22000">
              <a:solidFill>
                <a:srgbClr val="13211C"/>
              </a:solidFill>
              <a:prstDash val="dash"/>
            </a:ln>
          </c:spPr>
          <c:marker>
            <c:symbol val="none"/>
          </c:marker>
          <c:val>
            <c:numRef>
              <c:f>Calculs!$W$10:$W$21</c:f>
              <c:numCache>
                <c:formatCode>0</c:formatCode>
                <c:ptCount val="12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A7-49B9-BF38-8A581644B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="0">
                <a:solidFill>
                  <a:srgbClr val="55635D"/>
                </a:solidFill>
                <a:latin typeface="Arial"/>
              </a:defRPr>
            </a:pPr>
            <a:endParaRPr lang="fr-FR"/>
          </a:p>
        </c:txPr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6E1DA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 b="0">
                <a:solidFill>
                  <a:srgbClr val="55635D"/>
                </a:solidFill>
                <a:latin typeface="Arial"/>
              </a:defRPr>
            </a:pPr>
            <a:endParaRPr lang="fr-FR"/>
          </a:p>
        </c:txPr>
        <c:crossAx val="1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800" b="0">
              <a:solidFill>
                <a:srgbClr val="55635D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09600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0</xdr:rowOff>
    </xdr:from>
    <xdr:ext cx="5112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13</xdr:row>
      <xdr:rowOff>0</xdr:rowOff>
    </xdr:from>
    <xdr:ext cx="5112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28</xdr:row>
      <xdr:rowOff>0</xdr:rowOff>
    </xdr:from>
    <xdr:ext cx="5112000" cy="252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112000" cy="252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_Ventes" displayName="T_Ventes" ref="A3:I936">
  <tableColumns count="9">
    <tableColumn id="1" xr3:uid="{00000000-0010-0000-0000-000001000000}" name="Date facture"/>
    <tableColumn id="2" xr3:uid="{00000000-0010-0000-0000-000002000000}" name="N° facture"/>
    <tableColumn id="3" xr3:uid="{00000000-0010-0000-0000-000003000000}" name="Client"/>
    <tableColumn id="4" xr3:uid="{00000000-0010-0000-0000-000004000000}" name="Famille"/>
    <tableColumn id="5" xr3:uid="{00000000-0010-0000-0000-000005000000}" name="CA HT"/>
    <tableColumn id="6" xr3:uid="{00000000-0010-0000-0000-000006000000}" name="Coût achat HT"/>
    <tableColumn id="7" xr3:uid="{00000000-0010-0000-0000-000007000000}" name="Marge brute">
      <calculatedColumnFormula>T_Ventes[[#This Row],[CA HT]]-T_Ventes[[#This Row],[Coût achat HT]]</calculatedColumnFormula>
    </tableColumn>
    <tableColumn id="8" xr3:uid="{00000000-0010-0000-0000-000008000000}" name="Mois">
      <calculatedColumnFormula>DATE(YEAR(T_Ventes[[#This Row],[Date facture]]),MONTH(T_Ventes[[#This Row],[Date facture]]),1)</calculatedColumnFormula>
    </tableColumn>
    <tableColumn id="9" xr3:uid="{00000000-0010-0000-0000-000009000000}" name="Année">
      <calculatedColumnFormula>YEAR(T_Ventes[[#This Row],[Date facture]])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l.com/kavdal/appel-20-min" TargetMode="External"/><Relationship Id="rId1" Type="http://schemas.openxmlformats.org/officeDocument/2006/relationships/hyperlink" Target="https://kavdal.com/fr/tableaux-de-bord/?utm_source=modele-excel&amp;utm_medium=fichier&amp;utm_campaign=tableau-de-bord-exce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avdal.com/fr/tableaux-de-bor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A6B4E"/>
    <pageSetUpPr fitToPage="1"/>
  </sheetPr>
  <dimension ref="B2:M24"/>
  <sheetViews>
    <sheetView showGridLines="0" tabSelected="1" workbookViewId="0"/>
  </sheetViews>
  <sheetFormatPr baseColWidth="10" defaultColWidth="8.88671875" defaultRowHeight="14.4" x14ac:dyDescent="0.3"/>
  <cols>
    <col min="1" max="1" width="3" customWidth="1"/>
    <col min="2" max="13" width="11.44140625" customWidth="1"/>
  </cols>
  <sheetData>
    <row r="2" spans="2:13" ht="34.049999999999997" customHeight="1" x14ac:dyDescent="0.3">
      <c r="C2" s="1" t="s">
        <v>0</v>
      </c>
    </row>
    <row r="3" spans="2:13" ht="19.95" customHeight="1" x14ac:dyDescent="0.3">
      <c r="C3" s="2" t="s">
        <v>1</v>
      </c>
    </row>
    <row r="6" spans="2:13" ht="25.95" customHeight="1" x14ac:dyDescent="0.3">
      <c r="B6" s="77" t="s">
        <v>2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spans="2:13" ht="25.95" customHeight="1" x14ac:dyDescent="0.3"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9" spans="2:13" ht="24" customHeight="1" x14ac:dyDescent="0.3">
      <c r="B9" s="64" t="s">
        <v>3</v>
      </c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2:13" ht="24" customHeight="1" x14ac:dyDescent="0.3"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</row>
    <row r="12" spans="2:13" ht="30" customHeight="1" x14ac:dyDescent="0.3">
      <c r="B12" s="73" t="s">
        <v>4</v>
      </c>
      <c r="C12" s="65"/>
      <c r="D12" s="65"/>
      <c r="E12" s="65"/>
      <c r="F12" s="76" t="s">
        <v>5</v>
      </c>
      <c r="G12" s="65"/>
      <c r="H12" s="65"/>
      <c r="I12" s="65"/>
      <c r="J12" s="78" t="s">
        <v>6</v>
      </c>
      <c r="K12" s="65"/>
      <c r="L12" s="65"/>
      <c r="M12" s="65"/>
    </row>
    <row r="13" spans="2:13" x14ac:dyDescent="0.3">
      <c r="B13" s="72" t="s">
        <v>7</v>
      </c>
      <c r="C13" s="65"/>
      <c r="D13" s="65"/>
      <c r="E13" s="65"/>
      <c r="F13" s="74" t="s">
        <v>8</v>
      </c>
      <c r="G13" s="65"/>
      <c r="H13" s="65"/>
      <c r="I13" s="65"/>
      <c r="J13" s="75" t="s">
        <v>9</v>
      </c>
      <c r="K13" s="65"/>
      <c r="L13" s="65"/>
      <c r="M13" s="65"/>
    </row>
    <row r="14" spans="2:13" x14ac:dyDescent="0.3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</row>
    <row r="15" spans="2:13" x14ac:dyDescent="0.3"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2:13" x14ac:dyDescent="0.3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8" spans="2:13" ht="25.95" customHeight="1" x14ac:dyDescent="0.3">
      <c r="B18" s="80" t="s">
        <v>10</v>
      </c>
      <c r="C18" s="65"/>
      <c r="D18" s="65"/>
      <c r="E18" s="65"/>
      <c r="F18" s="65"/>
      <c r="G18" s="65"/>
      <c r="I18" s="66" t="s">
        <v>11</v>
      </c>
      <c r="J18" s="67"/>
      <c r="K18" s="67"/>
      <c r="L18" s="67"/>
      <c r="M18" s="68"/>
    </row>
    <row r="19" spans="2:13" ht="25.95" customHeight="1" x14ac:dyDescent="0.3">
      <c r="B19" s="65"/>
      <c r="C19" s="65"/>
      <c r="D19" s="65"/>
      <c r="E19" s="65"/>
      <c r="F19" s="65"/>
      <c r="G19" s="65"/>
      <c r="I19" s="69"/>
      <c r="J19" s="70"/>
      <c r="K19" s="70"/>
      <c r="L19" s="70"/>
      <c r="M19" s="71"/>
    </row>
    <row r="21" spans="2:13" x14ac:dyDescent="0.3">
      <c r="B21" s="81" t="s">
        <v>12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3" spans="2:13" x14ac:dyDescent="0.3">
      <c r="B23" s="79" t="s">
        <v>13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2:13" x14ac:dyDescent="0.3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</sheetData>
  <mergeCells count="12">
    <mergeCell ref="B6:M7"/>
    <mergeCell ref="J12:M12"/>
    <mergeCell ref="B23:M24"/>
    <mergeCell ref="B18:G19"/>
    <mergeCell ref="B21:M21"/>
    <mergeCell ref="B9:L10"/>
    <mergeCell ref="I18:M19"/>
    <mergeCell ref="B13:E16"/>
    <mergeCell ref="B12:E12"/>
    <mergeCell ref="F13:I16"/>
    <mergeCell ref="J13:M16"/>
    <mergeCell ref="F12:I12"/>
  </mergeCells>
  <hyperlinks>
    <hyperlink ref="B18" r:id="rId1" xr:uid="{00000000-0004-0000-0000-000000000000}"/>
    <hyperlink ref="I18" location="'Tableau de bord'!A1" display="Voir l’exemple de tableau de bord  →" xr:uid="{00000000-0004-0000-0000-000001000000}"/>
    <hyperlink ref="B21" r:id="rId2" xr:uid="{00000000-0004-0000-0000-000002000000}"/>
  </hyperlinks>
  <printOptions horizontalCentered="1"/>
  <pageMargins left="0.75" right="0.75" top="1" bottom="1" header="0.5" footer="0.5"/>
  <pageSetup paperSize="9" scale="87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A6B4E"/>
    <pageSetUpPr fitToPage="1"/>
  </sheetPr>
  <dimension ref="B2:N62"/>
  <sheetViews>
    <sheetView showGridLines="0" zoomScale="90" workbookViewId="0"/>
  </sheetViews>
  <sheetFormatPr baseColWidth="10" defaultColWidth="8.88671875" defaultRowHeight="14.4" x14ac:dyDescent="0.3"/>
  <cols>
    <col min="1" max="1" width="2.44140625" customWidth="1"/>
    <col min="2" max="14" width="12.44140625" customWidth="1"/>
    <col min="15" max="15" width="2.44140625" customWidth="1"/>
  </cols>
  <sheetData>
    <row r="2" spans="2:14" ht="30" customHeight="1" x14ac:dyDescent="0.4">
      <c r="B2" s="3" t="s">
        <v>14</v>
      </c>
      <c r="K2" s="90" t="s">
        <v>15</v>
      </c>
      <c r="L2" s="65"/>
      <c r="M2" s="65"/>
    </row>
    <row r="3" spans="2:14" ht="22.05" customHeight="1" x14ac:dyDescent="0.3">
      <c r="B3" s="4" t="str">
        <f>P_nom</f>
        <v>PME exemple (données fictives)</v>
      </c>
    </row>
    <row r="4" spans="2:14" ht="24" customHeight="1" x14ac:dyDescent="0.3">
      <c r="B4" s="100" t="s">
        <v>16</v>
      </c>
      <c r="C4" s="65"/>
      <c r="D4" s="97" t="s">
        <v>17</v>
      </c>
      <c r="E4" s="98"/>
      <c r="F4" s="5" t="s">
        <v>18</v>
      </c>
    </row>
    <row r="5" spans="2:14" ht="18" customHeight="1" x14ac:dyDescent="0.3">
      <c r="B5" s="95" t="s">
        <v>19</v>
      </c>
      <c r="C5" s="65"/>
      <c r="D5" s="65"/>
      <c r="E5" s="65"/>
      <c r="F5" s="65"/>
      <c r="G5" s="65"/>
    </row>
    <row r="6" spans="2:14" ht="28.05" customHeight="1" x14ac:dyDescent="0.3">
      <c r="B6" s="86" t="s">
        <v>20</v>
      </c>
      <c r="C6" s="65"/>
      <c r="D6" s="86" t="s">
        <v>21</v>
      </c>
      <c r="E6" s="65"/>
      <c r="F6" s="86" t="s">
        <v>22</v>
      </c>
      <c r="G6" s="65"/>
      <c r="H6" s="86" t="s">
        <v>23</v>
      </c>
      <c r="I6" s="65"/>
      <c r="J6" s="86" t="s">
        <v>24</v>
      </c>
      <c r="K6" s="65"/>
      <c r="L6" s="86" t="s">
        <v>25</v>
      </c>
      <c r="M6" s="65"/>
    </row>
    <row r="7" spans="2:14" ht="30" customHeight="1" x14ac:dyDescent="0.3">
      <c r="B7" s="83">
        <f>Calculs!$B$25</f>
        <v>195924.78999999998</v>
      </c>
      <c r="C7" s="65"/>
      <c r="D7" s="83">
        <f>Calculs!$B$28</f>
        <v>1677605.08</v>
      </c>
      <c r="E7" s="65"/>
      <c r="F7" s="89">
        <f>Calculs!$B$32</f>
        <v>0.33070017885258191</v>
      </c>
      <c r="G7" s="65"/>
      <c r="H7" s="83">
        <f>Calculs!$B$35</f>
        <v>94919.30000000009</v>
      </c>
      <c r="I7" s="65"/>
      <c r="J7" s="83">
        <f>Calculs!$B$37</f>
        <v>69773</v>
      </c>
      <c r="K7" s="65"/>
      <c r="L7" s="84">
        <f>Calculs!$B$39</f>
        <v>58.000645275694978</v>
      </c>
      <c r="M7" s="65"/>
    </row>
    <row r="8" spans="2:14" x14ac:dyDescent="0.3">
      <c r="B8" s="6" t="s">
        <v>26</v>
      </c>
      <c r="C8" s="7">
        <f>Calculs!$E$25</f>
        <v>-5.3503429951690884E-2</v>
      </c>
      <c r="D8" s="6" t="s">
        <v>26</v>
      </c>
      <c r="E8" s="7">
        <f>Calculs!$E$27</f>
        <v>-1.2011142520612417E-2</v>
      </c>
      <c r="F8" s="6" t="s">
        <v>27</v>
      </c>
      <c r="G8" s="8">
        <f>Calculs!$E$29</f>
        <v>7.0017885258188972E-2</v>
      </c>
      <c r="H8" s="6" t="s">
        <v>28</v>
      </c>
      <c r="I8" s="9">
        <f>Calculs!$B$36</f>
        <v>101340</v>
      </c>
      <c r="J8" s="6" t="s">
        <v>29</v>
      </c>
      <c r="K8" s="9">
        <f>P_seuil_treso</f>
        <v>60000</v>
      </c>
      <c r="L8" s="6" t="s">
        <v>30</v>
      </c>
      <c r="M8" s="10">
        <f>P_obj_dso</f>
        <v>45</v>
      </c>
    </row>
    <row r="9" spans="2:14" x14ac:dyDescent="0.3">
      <c r="B9" s="6" t="s">
        <v>31</v>
      </c>
      <c r="C9" s="7">
        <f>Calculs!$E$26</f>
        <v>2.2755385569144915E-2</v>
      </c>
      <c r="D9" s="6" t="s">
        <v>31</v>
      </c>
      <c r="E9" s="7">
        <f>Calculs!$E$28</f>
        <v>6.7263051318090739E-2</v>
      </c>
      <c r="F9" s="6" t="s">
        <v>31</v>
      </c>
      <c r="G9" s="8">
        <f>Calculs!$E$30</f>
        <v>-0.61085836151881789</v>
      </c>
      <c r="H9" s="6" t="s">
        <v>32</v>
      </c>
      <c r="I9" s="7">
        <f>Calculs!$E$31</f>
        <v>-6.3358002762975235E-2</v>
      </c>
      <c r="J9" s="6" t="s">
        <v>33</v>
      </c>
      <c r="K9" s="11">
        <f>Calculs!$B$37-Calculs!$B$38</f>
        <v>-9337</v>
      </c>
      <c r="L9" s="6" t="s">
        <v>33</v>
      </c>
      <c r="M9" s="12">
        <f>Calculs!$B$39-Calculs!$B$40</f>
        <v>0.99358839578257374</v>
      </c>
    </row>
    <row r="10" spans="2:14" ht="19.95" customHeight="1" x14ac:dyDescent="0.3">
      <c r="B10" s="82" t="str">
        <f>Calculs!$E$32</f>
        <v>Alerte</v>
      </c>
      <c r="C10" s="65"/>
      <c r="D10" s="82" t="str">
        <f>Calculs!$E$33</f>
        <v>À surveiller</v>
      </c>
      <c r="E10" s="65"/>
      <c r="F10" s="82" t="str">
        <f>Calculs!$E$34</f>
        <v>OK</v>
      </c>
      <c r="G10" s="65"/>
      <c r="H10" s="82" t="str">
        <f>Calculs!$E$35</f>
        <v>Alerte</v>
      </c>
      <c r="I10" s="65"/>
      <c r="J10" s="82" t="str">
        <f>Calculs!$E$36</f>
        <v>À surveiller</v>
      </c>
      <c r="K10" s="65"/>
      <c r="L10" s="82" t="str">
        <f>Calculs!$E$37</f>
        <v>Alerte</v>
      </c>
      <c r="M10" s="65"/>
    </row>
    <row r="11" spans="2:14" ht="6" customHeight="1" x14ac:dyDescent="0.3">
      <c r="B11" s="13"/>
      <c r="C11" s="14"/>
      <c r="D11" s="13"/>
      <c r="E11" s="14"/>
      <c r="F11" s="13"/>
      <c r="G11" s="14"/>
      <c r="H11" s="13"/>
      <c r="I11" s="14"/>
      <c r="J11" s="13"/>
      <c r="K11" s="14"/>
      <c r="L11" s="13"/>
      <c r="M11" s="14"/>
    </row>
    <row r="12" spans="2:14" x14ac:dyDescent="0.3">
      <c r="B12" s="96" t="s">
        <v>34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45" spans="2:12" ht="15.6" x14ac:dyDescent="0.3">
      <c r="B45" s="15" t="s">
        <v>35</v>
      </c>
      <c r="H45" s="15" t="s">
        <v>36</v>
      </c>
    </row>
    <row r="46" spans="2:12" x14ac:dyDescent="0.3">
      <c r="B46" s="16" t="s">
        <v>37</v>
      </c>
      <c r="C46" s="91" t="s">
        <v>38</v>
      </c>
      <c r="D46" s="94"/>
      <c r="E46" s="16" t="s">
        <v>39</v>
      </c>
      <c r="F46" s="16" t="s">
        <v>40</v>
      </c>
      <c r="G46" s="16" t="s">
        <v>41</v>
      </c>
      <c r="H46" s="91" t="s">
        <v>42</v>
      </c>
      <c r="I46" s="92"/>
      <c r="J46" s="16" t="s">
        <v>39</v>
      </c>
      <c r="K46" s="16" t="s">
        <v>31</v>
      </c>
      <c r="L46" s="16" t="s">
        <v>43</v>
      </c>
    </row>
    <row r="47" spans="2:12" x14ac:dyDescent="0.3">
      <c r="B47" s="17">
        <f>Calculs!F49</f>
        <v>1</v>
      </c>
      <c r="C47" s="87" t="str">
        <f>Calculs!G49</f>
        <v>Client 01</v>
      </c>
      <c r="D47" s="88"/>
      <c r="E47" s="18">
        <f>Calculs!H49</f>
        <v>309630.86000000004</v>
      </c>
      <c r="F47" s="19">
        <f>Calculs!I49</f>
        <v>0.34032547660139578</v>
      </c>
      <c r="G47" s="19">
        <f>Calculs!J49</f>
        <v>0.18456719265537752</v>
      </c>
      <c r="H47" s="87" t="str">
        <f>Calculs!F59</f>
        <v>Matériaux</v>
      </c>
      <c r="I47" s="88"/>
      <c r="J47" s="18">
        <f>Calculs!G59</f>
        <v>723591.49</v>
      </c>
      <c r="K47" s="20">
        <f>Calculs!I59</f>
        <v>2.2969483483118003E-2</v>
      </c>
      <c r="L47" s="19">
        <f>Calculs!J59</f>
        <v>0.21264543893405929</v>
      </c>
    </row>
    <row r="48" spans="2:12" x14ac:dyDescent="0.3">
      <c r="B48" s="17">
        <f>Calculs!F50</f>
        <v>2</v>
      </c>
      <c r="C48" s="87" t="str">
        <f>Calculs!G50</f>
        <v>Client 02</v>
      </c>
      <c r="D48" s="88"/>
      <c r="E48" s="18">
        <f>Calculs!H50</f>
        <v>161036.22</v>
      </c>
      <c r="F48" s="19">
        <f>Calculs!I50</f>
        <v>0.33409117526479454</v>
      </c>
      <c r="G48" s="19">
        <f>Calculs!J50</f>
        <v>9.5991733644488E-2</v>
      </c>
      <c r="H48" s="87" t="str">
        <f>Calculs!F60</f>
        <v>Outillage</v>
      </c>
      <c r="I48" s="88"/>
      <c r="J48" s="18">
        <f>Calculs!G60</f>
        <v>426860.98000000021</v>
      </c>
      <c r="K48" s="20">
        <f>Calculs!I60</f>
        <v>8.6246048542868436E-2</v>
      </c>
      <c r="L48" s="19">
        <f>Calculs!J60</f>
        <v>0.3402837382793813</v>
      </c>
    </row>
    <row r="49" spans="2:14" x14ac:dyDescent="0.3">
      <c r="B49" s="17">
        <f>Calculs!F51</f>
        <v>3</v>
      </c>
      <c r="C49" s="87" t="str">
        <f>Calculs!G51</f>
        <v>Client 03</v>
      </c>
      <c r="D49" s="88"/>
      <c r="E49" s="18">
        <f>Calculs!H51</f>
        <v>121397.88999999997</v>
      </c>
      <c r="F49" s="19">
        <f>Calculs!I51</f>
        <v>0.35884742313066553</v>
      </c>
      <c r="G49" s="19">
        <f>Calculs!J51</f>
        <v>7.2363806862101282E-2</v>
      </c>
      <c r="H49" s="87" t="str">
        <f>Calculs!F61</f>
        <v>Consommables</v>
      </c>
      <c r="I49" s="88"/>
      <c r="J49" s="18">
        <f>Calculs!G61</f>
        <v>334857.94000000006</v>
      </c>
      <c r="K49" s="20">
        <f>Calculs!I61</f>
        <v>6.5153871243907036E-2</v>
      </c>
      <c r="L49" s="19">
        <f>Calculs!J61</f>
        <v>0.40975794093459439</v>
      </c>
    </row>
    <row r="50" spans="2:14" x14ac:dyDescent="0.3">
      <c r="B50" s="17">
        <f>Calculs!F52</f>
        <v>4</v>
      </c>
      <c r="C50" s="87" t="str">
        <f>Calculs!G52</f>
        <v>Client 06</v>
      </c>
      <c r="D50" s="88"/>
      <c r="E50" s="18">
        <f>Calculs!H52</f>
        <v>85545.62000000001</v>
      </c>
      <c r="F50" s="19">
        <f>Calculs!I52</f>
        <v>0.3248163962105835</v>
      </c>
      <c r="G50" s="19">
        <f>Calculs!J52</f>
        <v>5.0992704433155393E-2</v>
      </c>
      <c r="H50" s="87" t="str">
        <f>Calculs!F62</f>
        <v>Services</v>
      </c>
      <c r="I50" s="88"/>
      <c r="J50" s="18">
        <f>Calculs!G62</f>
        <v>192294.66999999993</v>
      </c>
      <c r="K50" s="20">
        <f>Calculs!I62</f>
        <v>0.22334495702301149</v>
      </c>
      <c r="L50" s="19">
        <f>Calculs!J62</f>
        <v>0.61598857628243131</v>
      </c>
    </row>
    <row r="51" spans="2:14" x14ac:dyDescent="0.3">
      <c r="B51" s="17">
        <f>Calculs!F53</f>
        <v>5</v>
      </c>
      <c r="C51" s="87" t="str">
        <f>Calculs!G53</f>
        <v>Client 04</v>
      </c>
      <c r="D51" s="88"/>
      <c r="E51" s="18">
        <f>Calculs!H53</f>
        <v>79044.010000000009</v>
      </c>
      <c r="F51" s="19">
        <f>Calculs!I53</f>
        <v>0.32881631384844978</v>
      </c>
      <c r="G51" s="19">
        <f>Calculs!J53</f>
        <v>4.7117173727204024E-2</v>
      </c>
    </row>
    <row r="52" spans="2:14" x14ac:dyDescent="0.3">
      <c r="B52" s="99" t="str">
        <f>"Les 5 premiers clients font "&amp;FIXED(Calculs!J55*100,0)&amp;" % du chiffre d’affaires."</f>
        <v>Les 5 premiers clients font 45 % du chiffre d’affaires.</v>
      </c>
      <c r="C52" s="65"/>
      <c r="D52" s="65"/>
      <c r="E52" s="65"/>
      <c r="F52" s="65"/>
      <c r="G52" s="65"/>
    </row>
    <row r="54" spans="2:14" ht="15.6" x14ac:dyDescent="0.3">
      <c r="B54" s="15" t="s">
        <v>44</v>
      </c>
    </row>
    <row r="55" spans="2:14" ht="22.05" customHeight="1" x14ac:dyDescent="0.3">
      <c r="B55" s="21" t="str">
        <f>Calculs!$E$33</f>
        <v>À surveiller</v>
      </c>
      <c r="C55" s="85" t="str">
        <f>Calculs!$A$68</f>
        <v>Chiffre d’affaires cumulé sous le budget : -1,2 %, soit -20 k€.</v>
      </c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</row>
    <row r="56" spans="2:14" ht="22.05" customHeight="1" x14ac:dyDescent="0.3">
      <c r="B56" s="21" t="str">
        <f>Calculs!$E$34</f>
        <v>OK</v>
      </c>
      <c r="C56" s="85" t="str">
        <f>Calculs!$A$69</f>
        <v>Taux de marge cumulé conforme à l’objectif (33,1 %).</v>
      </c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</row>
    <row r="57" spans="2:14" ht="22.05" customHeight="1" x14ac:dyDescent="0.3">
      <c r="B57" s="21" t="str">
        <f>Calculs!$E$36</f>
        <v>À surveiller</v>
      </c>
      <c r="C57" s="85" t="str">
        <f>Calculs!$A$70</f>
        <v>Trésorerie de 70 k€ en fin de mois, pour un seuil de 60 k€ (-9 k€ sur un mois).</v>
      </c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</row>
    <row r="58" spans="2:14" ht="22.05" customHeight="1" x14ac:dyDescent="0.3">
      <c r="B58" s="21" t="str">
        <f>Calculs!$E$37</f>
        <v>Alerte</v>
      </c>
      <c r="C58" s="85" t="str">
        <f>Calculs!$A$71</f>
        <v>Délai de paiement clients de 58 jours, pour un objectif de 45 : relancez les retards et vérifiez les conditions de paiement.</v>
      </c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</row>
    <row r="60" spans="2:14" x14ac:dyDescent="0.3">
      <c r="B60" s="93" t="s">
        <v>45</v>
      </c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</row>
    <row r="61" spans="2:14" x14ac:dyDescent="0.3"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</row>
    <row r="62" spans="2:14" x14ac:dyDescent="0.3">
      <c r="B62" s="22" t="s">
        <v>46</v>
      </c>
    </row>
  </sheetData>
  <mergeCells count="40">
    <mergeCell ref="C58:N58"/>
    <mergeCell ref="B52:G52"/>
    <mergeCell ref="B4:C4"/>
    <mergeCell ref="C49:D49"/>
    <mergeCell ref="B60:N61"/>
    <mergeCell ref="C46:D46"/>
    <mergeCell ref="D7:E7"/>
    <mergeCell ref="B5:G5"/>
    <mergeCell ref="H7:I7"/>
    <mergeCell ref="C51:D51"/>
    <mergeCell ref="L10:M10"/>
    <mergeCell ref="B10:C10"/>
    <mergeCell ref="J7:K7"/>
    <mergeCell ref="B12:N12"/>
    <mergeCell ref="C57:N57"/>
    <mergeCell ref="H47:I47"/>
    <mergeCell ref="C48:D48"/>
    <mergeCell ref="B6:C6"/>
    <mergeCell ref="L6:M6"/>
    <mergeCell ref="H48:I48"/>
    <mergeCell ref="K2:M2"/>
    <mergeCell ref="H6:I6"/>
    <mergeCell ref="C47:D47"/>
    <mergeCell ref="J6:K6"/>
    <mergeCell ref="H46:I46"/>
    <mergeCell ref="D4:E4"/>
    <mergeCell ref="C55:N55"/>
    <mergeCell ref="F6:G6"/>
    <mergeCell ref="H50:I50"/>
    <mergeCell ref="C56:N56"/>
    <mergeCell ref="F7:G7"/>
    <mergeCell ref="D6:E6"/>
    <mergeCell ref="H49:I49"/>
    <mergeCell ref="C50:D50"/>
    <mergeCell ref="D10:E10"/>
    <mergeCell ref="B7:C7"/>
    <mergeCell ref="L7:M7"/>
    <mergeCell ref="F10:G10"/>
    <mergeCell ref="H10:I10"/>
    <mergeCell ref="J10:K10"/>
  </mergeCells>
  <conditionalFormatting sqref="B55:B58">
    <cfRule type="expression" dxfId="6" priority="4">
      <formula>B55="OK"</formula>
    </cfRule>
    <cfRule type="expression" dxfId="5" priority="5">
      <formula>B55="À surveiller"</formula>
    </cfRule>
    <cfRule type="expression" dxfId="4" priority="6">
      <formula>B55="Alerte"</formula>
    </cfRule>
  </conditionalFormatting>
  <conditionalFormatting sqref="B10:M10">
    <cfRule type="expression" dxfId="3" priority="1">
      <formula>B10="OK"</formula>
    </cfRule>
    <cfRule type="expression" dxfId="2" priority="2">
      <formula>B10="À surveiller"</formula>
    </cfRule>
    <cfRule type="expression" dxfId="1" priority="3">
      <formula>B10="Alerte"</formula>
    </cfRule>
  </conditionalFormatting>
  <hyperlinks>
    <hyperlink ref="K2" location="'Bienvenue'!A1" display="← Accueil et offre KAVDAL" xr:uid="{00000000-0004-0000-0100-000000000000}"/>
    <hyperlink ref="B62" r:id="rId1" xr:uid="{00000000-0004-0000-0100-000001000000}"/>
  </hyperlinks>
  <printOptions horizontalCentered="1"/>
  <pageMargins left="0.75" right="0.75" top="1" bottom="1" header="0.5" footer="0.5"/>
  <pageSetup paperSize="9" scale="77" fitToHeight="0" orientation="landscape" r:id="rId2"/>
  <rowBreaks count="1" manualBreakCount="1">
    <brk id="27" max="16383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promptTitle="Mois" prompt="Choisissez le mois à analyser." xr:uid="{00000000-0002-0000-0100-000000000000}">
          <x14:formula1>
            <xm:f>Calculs!$C$10:$C$21</xm:f>
          </x14:formula1>
          <xm:sqref>D4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FB4"/>
  </sheetPr>
  <dimension ref="A1:I936"/>
  <sheetViews>
    <sheetView workbookViewId="0">
      <pane ySplit="3" topLeftCell="A4" activePane="bottomLeft" state="frozen"/>
      <selection pane="bottomLeft"/>
    </sheetView>
  </sheetViews>
  <sheetFormatPr baseColWidth="10" defaultColWidth="8.88671875" defaultRowHeight="14.4" x14ac:dyDescent="0.3"/>
  <cols>
    <col min="1" max="2" width="13" customWidth="1"/>
    <col min="3" max="3" width="14" customWidth="1"/>
    <col min="4" max="4" width="15" customWidth="1"/>
    <col min="5" max="5" width="13" customWidth="1"/>
    <col min="6" max="6" width="14" customWidth="1"/>
    <col min="7" max="7" width="13" customWidth="1"/>
    <col min="8" max="8" width="10" customWidth="1"/>
    <col min="9" max="9" width="8" customWidth="1"/>
  </cols>
  <sheetData>
    <row r="1" spans="1:9" ht="30" customHeight="1" x14ac:dyDescent="0.3">
      <c r="A1" s="101" t="s">
        <v>47</v>
      </c>
      <c r="B1" s="65"/>
      <c r="C1" s="65"/>
      <c r="D1" s="65"/>
      <c r="E1" s="65"/>
      <c r="F1" s="65"/>
      <c r="G1" s="65"/>
      <c r="H1" s="65"/>
      <c r="I1" s="65"/>
    </row>
    <row r="3" spans="1:9" x14ac:dyDescent="0.3">
      <c r="A3" t="s">
        <v>48</v>
      </c>
      <c r="B3" t="s">
        <v>49</v>
      </c>
      <c r="C3" t="s">
        <v>38</v>
      </c>
      <c r="D3" t="s">
        <v>42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</row>
    <row r="4" spans="1:9" x14ac:dyDescent="0.3">
      <c r="A4" s="23">
        <v>45658</v>
      </c>
      <c r="B4" s="24" t="s">
        <v>55</v>
      </c>
      <c r="C4" s="24" t="s">
        <v>56</v>
      </c>
      <c r="D4" s="24" t="s">
        <v>57</v>
      </c>
      <c r="E4" s="25">
        <v>3309.81</v>
      </c>
      <c r="F4" s="25">
        <v>2166.96</v>
      </c>
      <c r="G4" s="26">
        <f>T_Ventes[[#This Row],[CA HT]]-T_Ventes[[#This Row],[Coût achat HT]]</f>
        <v>1142.8499999999999</v>
      </c>
      <c r="H4" s="27">
        <f>DATE(YEAR(T_Ventes[[#This Row],[Date facture]]),MONTH(T_Ventes[[#This Row],[Date facture]]),1)</f>
        <v>45658</v>
      </c>
      <c r="I4" s="28">
        <f>YEAR(T_Ventes[[#This Row],[Date facture]])</f>
        <v>2025</v>
      </c>
    </row>
    <row r="5" spans="1:9" x14ac:dyDescent="0.3">
      <c r="A5" s="23">
        <v>45658</v>
      </c>
      <c r="B5" s="24" t="s">
        <v>58</v>
      </c>
      <c r="C5" s="24" t="s">
        <v>56</v>
      </c>
      <c r="D5" s="24" t="s">
        <v>59</v>
      </c>
      <c r="E5" s="25">
        <v>3639.94</v>
      </c>
      <c r="F5" s="25">
        <v>1394.18</v>
      </c>
      <c r="G5" s="26">
        <f>T_Ventes[[#This Row],[CA HT]]-T_Ventes[[#This Row],[Coût achat HT]]</f>
        <v>2245.7600000000002</v>
      </c>
      <c r="H5" s="27">
        <f>DATE(YEAR(T_Ventes[[#This Row],[Date facture]]),MONTH(T_Ventes[[#This Row],[Date facture]]),1)</f>
        <v>45658</v>
      </c>
      <c r="I5" s="28">
        <f>YEAR(T_Ventes[[#This Row],[Date facture]])</f>
        <v>2025</v>
      </c>
    </row>
    <row r="6" spans="1:9" x14ac:dyDescent="0.3">
      <c r="A6" s="23">
        <v>45659</v>
      </c>
      <c r="B6" s="24" t="s">
        <v>60</v>
      </c>
      <c r="C6" s="24" t="s">
        <v>61</v>
      </c>
      <c r="D6" s="24" t="s">
        <v>59</v>
      </c>
      <c r="E6" s="25">
        <v>2211.3000000000002</v>
      </c>
      <c r="F6" s="25">
        <v>777.73</v>
      </c>
      <c r="G6" s="26">
        <f>T_Ventes[[#This Row],[CA HT]]-T_Ventes[[#This Row],[Coût achat HT]]</f>
        <v>1433.5700000000002</v>
      </c>
      <c r="H6" s="27">
        <f>DATE(YEAR(T_Ventes[[#This Row],[Date facture]]),MONTH(T_Ventes[[#This Row],[Date facture]]),1)</f>
        <v>45658</v>
      </c>
      <c r="I6" s="28">
        <f>YEAR(T_Ventes[[#This Row],[Date facture]])</f>
        <v>2025</v>
      </c>
    </row>
    <row r="7" spans="1:9" x14ac:dyDescent="0.3">
      <c r="A7" s="23">
        <v>45660</v>
      </c>
      <c r="B7" s="24" t="s">
        <v>62</v>
      </c>
      <c r="C7" s="24" t="s">
        <v>63</v>
      </c>
      <c r="D7" s="24" t="s">
        <v>64</v>
      </c>
      <c r="E7" s="25">
        <v>4287.13</v>
      </c>
      <c r="F7" s="25">
        <v>3279.61</v>
      </c>
      <c r="G7" s="26">
        <f>T_Ventes[[#This Row],[CA HT]]-T_Ventes[[#This Row],[Coût achat HT]]</f>
        <v>1007.52</v>
      </c>
      <c r="H7" s="27">
        <f>DATE(YEAR(T_Ventes[[#This Row],[Date facture]]),MONTH(T_Ventes[[#This Row],[Date facture]]),1)</f>
        <v>45658</v>
      </c>
      <c r="I7" s="28">
        <f>YEAR(T_Ventes[[#This Row],[Date facture]])</f>
        <v>2025</v>
      </c>
    </row>
    <row r="8" spans="1:9" x14ac:dyDescent="0.3">
      <c r="A8" s="23">
        <v>45660</v>
      </c>
      <c r="B8" s="24" t="s">
        <v>65</v>
      </c>
      <c r="C8" s="24" t="s">
        <v>66</v>
      </c>
      <c r="D8" s="24" t="s">
        <v>64</v>
      </c>
      <c r="E8" s="25">
        <v>5485.94</v>
      </c>
      <c r="F8" s="25">
        <v>4158.03</v>
      </c>
      <c r="G8" s="26">
        <f>T_Ventes[[#This Row],[CA HT]]-T_Ventes[[#This Row],[Coût achat HT]]</f>
        <v>1327.9099999999999</v>
      </c>
      <c r="H8" s="27">
        <f>DATE(YEAR(T_Ventes[[#This Row],[Date facture]]),MONTH(T_Ventes[[#This Row],[Date facture]]),1)</f>
        <v>45658</v>
      </c>
      <c r="I8" s="28">
        <f>YEAR(T_Ventes[[#This Row],[Date facture]])</f>
        <v>2025</v>
      </c>
    </row>
    <row r="9" spans="1:9" x14ac:dyDescent="0.3">
      <c r="A9" s="23">
        <v>45661</v>
      </c>
      <c r="B9" s="24" t="s">
        <v>67</v>
      </c>
      <c r="C9" s="24" t="s">
        <v>68</v>
      </c>
      <c r="D9" s="24" t="s">
        <v>57</v>
      </c>
      <c r="E9" s="25">
        <v>6980.82</v>
      </c>
      <c r="F9" s="25">
        <v>4617.6000000000004</v>
      </c>
      <c r="G9" s="26">
        <f>T_Ventes[[#This Row],[CA HT]]-T_Ventes[[#This Row],[Coût achat HT]]</f>
        <v>2363.2199999999993</v>
      </c>
      <c r="H9" s="27">
        <f>DATE(YEAR(T_Ventes[[#This Row],[Date facture]]),MONTH(T_Ventes[[#This Row],[Date facture]]),1)</f>
        <v>45658</v>
      </c>
      <c r="I9" s="28">
        <f>YEAR(T_Ventes[[#This Row],[Date facture]])</f>
        <v>2025</v>
      </c>
    </row>
    <row r="10" spans="1:9" x14ac:dyDescent="0.3">
      <c r="A10" s="23">
        <v>45663</v>
      </c>
      <c r="B10" s="24" t="s">
        <v>69</v>
      </c>
      <c r="C10" s="24" t="s">
        <v>70</v>
      </c>
      <c r="D10" s="24" t="s">
        <v>71</v>
      </c>
      <c r="E10" s="25">
        <v>4105.05</v>
      </c>
      <c r="F10" s="25">
        <v>2364.34</v>
      </c>
      <c r="G10" s="26">
        <f>T_Ventes[[#This Row],[CA HT]]-T_Ventes[[#This Row],[Coût achat HT]]</f>
        <v>1740.71</v>
      </c>
      <c r="H10" s="27">
        <f>DATE(YEAR(T_Ventes[[#This Row],[Date facture]]),MONTH(T_Ventes[[#This Row],[Date facture]]),1)</f>
        <v>45658</v>
      </c>
      <c r="I10" s="28">
        <f>YEAR(T_Ventes[[#This Row],[Date facture]])</f>
        <v>2025</v>
      </c>
    </row>
    <row r="11" spans="1:9" x14ac:dyDescent="0.3">
      <c r="A11" s="23">
        <v>45666</v>
      </c>
      <c r="B11" s="24" t="s">
        <v>72</v>
      </c>
      <c r="C11" s="24" t="s">
        <v>73</v>
      </c>
      <c r="D11" s="24" t="s">
        <v>64</v>
      </c>
      <c r="E11" s="25">
        <v>1714.93</v>
      </c>
      <c r="F11" s="25">
        <v>1282.81</v>
      </c>
      <c r="G11" s="26">
        <f>T_Ventes[[#This Row],[CA HT]]-T_Ventes[[#This Row],[Coût achat HT]]</f>
        <v>432.12000000000012</v>
      </c>
      <c r="H11" s="27">
        <f>DATE(YEAR(T_Ventes[[#This Row],[Date facture]]),MONTH(T_Ventes[[#This Row],[Date facture]]),1)</f>
        <v>45658</v>
      </c>
      <c r="I11" s="28">
        <f>YEAR(T_Ventes[[#This Row],[Date facture]])</f>
        <v>2025</v>
      </c>
    </row>
    <row r="12" spans="1:9" x14ac:dyDescent="0.3">
      <c r="A12" s="23">
        <v>45667</v>
      </c>
      <c r="B12" s="24" t="s">
        <v>74</v>
      </c>
      <c r="C12" s="24" t="s">
        <v>63</v>
      </c>
      <c r="D12" s="24" t="s">
        <v>57</v>
      </c>
      <c r="E12" s="25">
        <v>6345.35</v>
      </c>
      <c r="F12" s="25">
        <v>4156.25</v>
      </c>
      <c r="G12" s="26">
        <f>T_Ventes[[#This Row],[CA HT]]-T_Ventes[[#This Row],[Coût achat HT]]</f>
        <v>2189.1000000000004</v>
      </c>
      <c r="H12" s="27">
        <f>DATE(YEAR(T_Ventes[[#This Row],[Date facture]]),MONTH(T_Ventes[[#This Row],[Date facture]]),1)</f>
        <v>45658</v>
      </c>
      <c r="I12" s="28">
        <f>YEAR(T_Ventes[[#This Row],[Date facture]])</f>
        <v>2025</v>
      </c>
    </row>
    <row r="13" spans="1:9" x14ac:dyDescent="0.3">
      <c r="A13" s="23">
        <v>45668</v>
      </c>
      <c r="B13" s="24" t="s">
        <v>75</v>
      </c>
      <c r="C13" s="24" t="s">
        <v>76</v>
      </c>
      <c r="D13" s="24" t="s">
        <v>71</v>
      </c>
      <c r="E13" s="25">
        <v>4128.6899999999996</v>
      </c>
      <c r="F13" s="25">
        <v>2383.13</v>
      </c>
      <c r="G13" s="26">
        <f>T_Ventes[[#This Row],[CA HT]]-T_Ventes[[#This Row],[Coût achat HT]]</f>
        <v>1745.5599999999995</v>
      </c>
      <c r="H13" s="27">
        <f>DATE(YEAR(T_Ventes[[#This Row],[Date facture]]),MONTH(T_Ventes[[#This Row],[Date facture]]),1)</f>
        <v>45658</v>
      </c>
      <c r="I13" s="28">
        <f>YEAR(T_Ventes[[#This Row],[Date facture]])</f>
        <v>2025</v>
      </c>
    </row>
    <row r="14" spans="1:9" x14ac:dyDescent="0.3">
      <c r="A14" s="23">
        <v>45669</v>
      </c>
      <c r="B14" s="24" t="s">
        <v>77</v>
      </c>
      <c r="C14" s="24" t="s">
        <v>78</v>
      </c>
      <c r="D14" s="24" t="s">
        <v>64</v>
      </c>
      <c r="E14" s="25">
        <v>2398.59</v>
      </c>
      <c r="F14" s="25">
        <v>1794.17</v>
      </c>
      <c r="G14" s="26">
        <f>T_Ventes[[#This Row],[CA HT]]-T_Ventes[[#This Row],[Coût achat HT]]</f>
        <v>604.42000000000007</v>
      </c>
      <c r="H14" s="27">
        <f>DATE(YEAR(T_Ventes[[#This Row],[Date facture]]),MONTH(T_Ventes[[#This Row],[Date facture]]),1)</f>
        <v>45658</v>
      </c>
      <c r="I14" s="28">
        <f>YEAR(T_Ventes[[#This Row],[Date facture]])</f>
        <v>2025</v>
      </c>
    </row>
    <row r="15" spans="1:9" x14ac:dyDescent="0.3">
      <c r="A15" s="23">
        <v>45671</v>
      </c>
      <c r="B15" s="24" t="s">
        <v>79</v>
      </c>
      <c r="C15" s="24" t="s">
        <v>80</v>
      </c>
      <c r="D15" s="24" t="s">
        <v>57</v>
      </c>
      <c r="E15" s="25">
        <v>5263.52</v>
      </c>
      <c r="F15" s="25">
        <v>3414.54</v>
      </c>
      <c r="G15" s="26">
        <f>T_Ventes[[#This Row],[CA HT]]-T_Ventes[[#This Row],[Coût achat HT]]</f>
        <v>1848.9800000000005</v>
      </c>
      <c r="H15" s="27">
        <f>DATE(YEAR(T_Ventes[[#This Row],[Date facture]]),MONTH(T_Ventes[[#This Row],[Date facture]]),1)</f>
        <v>45658</v>
      </c>
      <c r="I15" s="28">
        <f>YEAR(T_Ventes[[#This Row],[Date facture]])</f>
        <v>2025</v>
      </c>
    </row>
    <row r="16" spans="1:9" x14ac:dyDescent="0.3">
      <c r="A16" s="23">
        <v>45672</v>
      </c>
      <c r="B16" s="24" t="s">
        <v>81</v>
      </c>
      <c r="C16" s="24" t="s">
        <v>56</v>
      </c>
      <c r="D16" s="24" t="s">
        <v>64</v>
      </c>
      <c r="E16" s="25">
        <v>4033.63</v>
      </c>
      <c r="F16" s="25">
        <v>3027.71</v>
      </c>
      <c r="G16" s="26">
        <f>T_Ventes[[#This Row],[CA HT]]-T_Ventes[[#This Row],[Coût achat HT]]</f>
        <v>1005.9200000000001</v>
      </c>
      <c r="H16" s="27">
        <f>DATE(YEAR(T_Ventes[[#This Row],[Date facture]]),MONTH(T_Ventes[[#This Row],[Date facture]]),1)</f>
        <v>45658</v>
      </c>
      <c r="I16" s="28">
        <f>YEAR(T_Ventes[[#This Row],[Date facture]])</f>
        <v>2025</v>
      </c>
    </row>
    <row r="17" spans="1:9" x14ac:dyDescent="0.3">
      <c r="A17" s="23">
        <v>45672</v>
      </c>
      <c r="B17" s="24" t="s">
        <v>82</v>
      </c>
      <c r="C17" s="24" t="s">
        <v>56</v>
      </c>
      <c r="D17" s="24" t="s">
        <v>64</v>
      </c>
      <c r="E17" s="25">
        <v>5572.4</v>
      </c>
      <c r="F17" s="25">
        <v>4215.66</v>
      </c>
      <c r="G17" s="26">
        <f>T_Ventes[[#This Row],[CA HT]]-T_Ventes[[#This Row],[Coût achat HT]]</f>
        <v>1356.7399999999998</v>
      </c>
      <c r="H17" s="27">
        <f>DATE(YEAR(T_Ventes[[#This Row],[Date facture]]),MONTH(T_Ventes[[#This Row],[Date facture]]),1)</f>
        <v>45658</v>
      </c>
      <c r="I17" s="28">
        <f>YEAR(T_Ventes[[#This Row],[Date facture]])</f>
        <v>2025</v>
      </c>
    </row>
    <row r="18" spans="1:9" x14ac:dyDescent="0.3">
      <c r="A18" s="23">
        <v>45672</v>
      </c>
      <c r="B18" s="24" t="s">
        <v>83</v>
      </c>
      <c r="C18" s="24" t="s">
        <v>84</v>
      </c>
      <c r="D18" s="24" t="s">
        <v>71</v>
      </c>
      <c r="E18" s="25">
        <v>6715.37</v>
      </c>
      <c r="F18" s="25">
        <v>3883.58</v>
      </c>
      <c r="G18" s="26">
        <f>T_Ventes[[#This Row],[CA HT]]-T_Ventes[[#This Row],[Coût achat HT]]</f>
        <v>2831.79</v>
      </c>
      <c r="H18" s="27">
        <f>DATE(YEAR(T_Ventes[[#This Row],[Date facture]]),MONTH(T_Ventes[[#This Row],[Date facture]]),1)</f>
        <v>45658</v>
      </c>
      <c r="I18" s="28">
        <f>YEAR(T_Ventes[[#This Row],[Date facture]])</f>
        <v>2025</v>
      </c>
    </row>
    <row r="19" spans="1:9" x14ac:dyDescent="0.3">
      <c r="A19" s="23">
        <v>45673</v>
      </c>
      <c r="B19" s="24" t="s">
        <v>85</v>
      </c>
      <c r="C19" s="24" t="s">
        <v>84</v>
      </c>
      <c r="D19" s="24" t="s">
        <v>64</v>
      </c>
      <c r="E19" s="25">
        <v>6006.62</v>
      </c>
      <c r="F19" s="25">
        <v>4606.8</v>
      </c>
      <c r="G19" s="26">
        <f>T_Ventes[[#This Row],[CA HT]]-T_Ventes[[#This Row],[Coût achat HT]]</f>
        <v>1399.8199999999997</v>
      </c>
      <c r="H19" s="27">
        <f>DATE(YEAR(T_Ventes[[#This Row],[Date facture]]),MONTH(T_Ventes[[#This Row],[Date facture]]),1)</f>
        <v>45658</v>
      </c>
      <c r="I19" s="28">
        <f>YEAR(T_Ventes[[#This Row],[Date facture]])</f>
        <v>2025</v>
      </c>
    </row>
    <row r="20" spans="1:9" x14ac:dyDescent="0.3">
      <c r="A20" s="23">
        <v>45673</v>
      </c>
      <c r="B20" s="24" t="s">
        <v>86</v>
      </c>
      <c r="C20" s="24" t="s">
        <v>87</v>
      </c>
      <c r="D20" s="24" t="s">
        <v>64</v>
      </c>
      <c r="E20" s="25">
        <v>5389.1</v>
      </c>
      <c r="F20" s="25">
        <v>4105.3599999999997</v>
      </c>
      <c r="G20" s="26">
        <f>T_Ventes[[#This Row],[CA HT]]-T_Ventes[[#This Row],[Coût achat HT]]</f>
        <v>1283.7400000000007</v>
      </c>
      <c r="H20" s="27">
        <f>DATE(YEAR(T_Ventes[[#This Row],[Date facture]]),MONTH(T_Ventes[[#This Row],[Date facture]]),1)</f>
        <v>45658</v>
      </c>
      <c r="I20" s="28">
        <f>YEAR(T_Ventes[[#This Row],[Date facture]])</f>
        <v>2025</v>
      </c>
    </row>
    <row r="21" spans="1:9" x14ac:dyDescent="0.3">
      <c r="A21" s="23">
        <v>45673</v>
      </c>
      <c r="B21" s="24" t="s">
        <v>88</v>
      </c>
      <c r="C21" s="24" t="s">
        <v>66</v>
      </c>
      <c r="D21" s="24" t="s">
        <v>64</v>
      </c>
      <c r="E21" s="25">
        <v>2492.94</v>
      </c>
      <c r="F21" s="25">
        <v>1893.16</v>
      </c>
      <c r="G21" s="26">
        <f>T_Ventes[[#This Row],[CA HT]]-T_Ventes[[#This Row],[Coût achat HT]]</f>
        <v>599.78</v>
      </c>
      <c r="H21" s="27">
        <f>DATE(YEAR(T_Ventes[[#This Row],[Date facture]]),MONTH(T_Ventes[[#This Row],[Date facture]]),1)</f>
        <v>45658</v>
      </c>
      <c r="I21" s="28">
        <f>YEAR(T_Ventes[[#This Row],[Date facture]])</f>
        <v>2025</v>
      </c>
    </row>
    <row r="22" spans="1:9" x14ac:dyDescent="0.3">
      <c r="A22" s="23">
        <v>45673</v>
      </c>
      <c r="B22" s="24" t="s">
        <v>89</v>
      </c>
      <c r="C22" s="24" t="s">
        <v>90</v>
      </c>
      <c r="D22" s="24" t="s">
        <v>64</v>
      </c>
      <c r="E22" s="25">
        <v>1760.83</v>
      </c>
      <c r="F22" s="25">
        <v>1325.33</v>
      </c>
      <c r="G22" s="26">
        <f>T_Ventes[[#This Row],[CA HT]]-T_Ventes[[#This Row],[Coût achat HT]]</f>
        <v>435.5</v>
      </c>
      <c r="H22" s="27">
        <f>DATE(YEAR(T_Ventes[[#This Row],[Date facture]]),MONTH(T_Ventes[[#This Row],[Date facture]]),1)</f>
        <v>45658</v>
      </c>
      <c r="I22" s="28">
        <f>YEAR(T_Ventes[[#This Row],[Date facture]])</f>
        <v>2025</v>
      </c>
    </row>
    <row r="23" spans="1:9" x14ac:dyDescent="0.3">
      <c r="A23" s="23">
        <v>45673</v>
      </c>
      <c r="B23" s="24" t="s">
        <v>91</v>
      </c>
      <c r="C23" s="24" t="s">
        <v>92</v>
      </c>
      <c r="D23" s="24" t="s">
        <v>57</v>
      </c>
      <c r="E23" s="25">
        <v>8386.4699999999993</v>
      </c>
      <c r="F23" s="25">
        <v>5404.01</v>
      </c>
      <c r="G23" s="26">
        <f>T_Ventes[[#This Row],[CA HT]]-T_Ventes[[#This Row],[Coût achat HT]]</f>
        <v>2982.4599999999991</v>
      </c>
      <c r="H23" s="27">
        <f>DATE(YEAR(T_Ventes[[#This Row],[Date facture]]),MONTH(T_Ventes[[#This Row],[Date facture]]),1)</f>
        <v>45658</v>
      </c>
      <c r="I23" s="28">
        <f>YEAR(T_Ventes[[#This Row],[Date facture]])</f>
        <v>2025</v>
      </c>
    </row>
    <row r="24" spans="1:9" x14ac:dyDescent="0.3">
      <c r="A24" s="23">
        <v>45673</v>
      </c>
      <c r="B24" s="24" t="s">
        <v>93</v>
      </c>
      <c r="C24" s="24" t="s">
        <v>94</v>
      </c>
      <c r="D24" s="24" t="s">
        <v>71</v>
      </c>
      <c r="E24" s="25">
        <v>4258.92</v>
      </c>
      <c r="F24" s="25">
        <v>2486.8200000000002</v>
      </c>
      <c r="G24" s="26">
        <f>T_Ventes[[#This Row],[CA HT]]-T_Ventes[[#This Row],[Coût achat HT]]</f>
        <v>1772.1</v>
      </c>
      <c r="H24" s="27">
        <f>DATE(YEAR(T_Ventes[[#This Row],[Date facture]]),MONTH(T_Ventes[[#This Row],[Date facture]]),1)</f>
        <v>45658</v>
      </c>
      <c r="I24" s="28">
        <f>YEAR(T_Ventes[[#This Row],[Date facture]])</f>
        <v>2025</v>
      </c>
    </row>
    <row r="25" spans="1:9" x14ac:dyDescent="0.3">
      <c r="A25" s="23">
        <v>45674</v>
      </c>
      <c r="B25" s="24" t="s">
        <v>95</v>
      </c>
      <c r="C25" s="24" t="s">
        <v>96</v>
      </c>
      <c r="D25" s="24" t="s">
        <v>64</v>
      </c>
      <c r="E25" s="25">
        <v>4539.13</v>
      </c>
      <c r="F25" s="25">
        <v>3425.43</v>
      </c>
      <c r="G25" s="26">
        <f>T_Ventes[[#This Row],[CA HT]]-T_Ventes[[#This Row],[Coût achat HT]]</f>
        <v>1113.7000000000003</v>
      </c>
      <c r="H25" s="27">
        <f>DATE(YEAR(T_Ventes[[#This Row],[Date facture]]),MONTH(T_Ventes[[#This Row],[Date facture]]),1)</f>
        <v>45658</v>
      </c>
      <c r="I25" s="28">
        <f>YEAR(T_Ventes[[#This Row],[Date facture]])</f>
        <v>2025</v>
      </c>
    </row>
    <row r="26" spans="1:9" x14ac:dyDescent="0.3">
      <c r="A26" s="23">
        <v>45674</v>
      </c>
      <c r="B26" s="24" t="s">
        <v>97</v>
      </c>
      <c r="C26" s="24" t="s">
        <v>80</v>
      </c>
      <c r="D26" s="24" t="s">
        <v>71</v>
      </c>
      <c r="E26" s="25">
        <v>2755.05</v>
      </c>
      <c r="F26" s="25">
        <v>1577.81</v>
      </c>
      <c r="G26" s="26">
        <f>T_Ventes[[#This Row],[CA HT]]-T_Ventes[[#This Row],[Coût achat HT]]</f>
        <v>1177.2400000000002</v>
      </c>
      <c r="H26" s="27">
        <f>DATE(YEAR(T_Ventes[[#This Row],[Date facture]]),MONTH(T_Ventes[[#This Row],[Date facture]]),1)</f>
        <v>45658</v>
      </c>
      <c r="I26" s="28">
        <f>YEAR(T_Ventes[[#This Row],[Date facture]])</f>
        <v>2025</v>
      </c>
    </row>
    <row r="27" spans="1:9" x14ac:dyDescent="0.3">
      <c r="A27" s="23">
        <v>45675</v>
      </c>
      <c r="B27" s="24" t="s">
        <v>98</v>
      </c>
      <c r="C27" s="24" t="s">
        <v>80</v>
      </c>
      <c r="D27" s="24" t="s">
        <v>57</v>
      </c>
      <c r="E27" s="25">
        <v>2334.83</v>
      </c>
      <c r="F27" s="25">
        <v>1548.76</v>
      </c>
      <c r="G27" s="26">
        <f>T_Ventes[[#This Row],[CA HT]]-T_Ventes[[#This Row],[Coût achat HT]]</f>
        <v>786.06999999999994</v>
      </c>
      <c r="H27" s="27">
        <f>DATE(YEAR(T_Ventes[[#This Row],[Date facture]]),MONTH(T_Ventes[[#This Row],[Date facture]]),1)</f>
        <v>45658</v>
      </c>
      <c r="I27" s="28">
        <f>YEAR(T_Ventes[[#This Row],[Date facture]])</f>
        <v>2025</v>
      </c>
    </row>
    <row r="28" spans="1:9" x14ac:dyDescent="0.3">
      <c r="A28" s="23">
        <v>45675</v>
      </c>
      <c r="B28" s="24" t="s">
        <v>99</v>
      </c>
      <c r="C28" s="24" t="s">
        <v>100</v>
      </c>
      <c r="D28" s="24" t="s">
        <v>59</v>
      </c>
      <c r="E28" s="25">
        <v>2519.21</v>
      </c>
      <c r="F28" s="25">
        <v>1022.42</v>
      </c>
      <c r="G28" s="26">
        <f>T_Ventes[[#This Row],[CA HT]]-T_Ventes[[#This Row],[Coût achat HT]]</f>
        <v>1496.79</v>
      </c>
      <c r="H28" s="27">
        <f>DATE(YEAR(T_Ventes[[#This Row],[Date facture]]),MONTH(T_Ventes[[#This Row],[Date facture]]),1)</f>
        <v>45658</v>
      </c>
      <c r="I28" s="28">
        <f>YEAR(T_Ventes[[#This Row],[Date facture]])</f>
        <v>2025</v>
      </c>
    </row>
    <row r="29" spans="1:9" x14ac:dyDescent="0.3">
      <c r="A29" s="23">
        <v>45676</v>
      </c>
      <c r="B29" s="24" t="s">
        <v>101</v>
      </c>
      <c r="C29" s="24" t="s">
        <v>80</v>
      </c>
      <c r="D29" s="24" t="s">
        <v>64</v>
      </c>
      <c r="E29" s="25">
        <v>5761.6</v>
      </c>
      <c r="F29" s="25">
        <v>4430.12</v>
      </c>
      <c r="G29" s="26">
        <f>T_Ventes[[#This Row],[CA HT]]-T_Ventes[[#This Row],[Coût achat HT]]</f>
        <v>1331.4800000000005</v>
      </c>
      <c r="H29" s="27">
        <f>DATE(YEAR(T_Ventes[[#This Row],[Date facture]]),MONTH(T_Ventes[[#This Row],[Date facture]]),1)</f>
        <v>45658</v>
      </c>
      <c r="I29" s="28">
        <f>YEAR(T_Ventes[[#This Row],[Date facture]])</f>
        <v>2025</v>
      </c>
    </row>
    <row r="30" spans="1:9" x14ac:dyDescent="0.3">
      <c r="A30" s="23">
        <v>45679</v>
      </c>
      <c r="B30" s="24" t="s">
        <v>102</v>
      </c>
      <c r="C30" s="24" t="s">
        <v>103</v>
      </c>
      <c r="D30" s="24" t="s">
        <v>71</v>
      </c>
      <c r="E30" s="25">
        <v>4328.51</v>
      </c>
      <c r="F30" s="25">
        <v>2495.0100000000002</v>
      </c>
      <c r="G30" s="26">
        <f>T_Ventes[[#This Row],[CA HT]]-T_Ventes[[#This Row],[Coût achat HT]]</f>
        <v>1833.5</v>
      </c>
      <c r="H30" s="27">
        <f>DATE(YEAR(T_Ventes[[#This Row],[Date facture]]),MONTH(T_Ventes[[#This Row],[Date facture]]),1)</f>
        <v>45658</v>
      </c>
      <c r="I30" s="28">
        <f>YEAR(T_Ventes[[#This Row],[Date facture]])</f>
        <v>2025</v>
      </c>
    </row>
    <row r="31" spans="1:9" x14ac:dyDescent="0.3">
      <c r="A31" s="23">
        <v>45680</v>
      </c>
      <c r="B31" s="24" t="s">
        <v>104</v>
      </c>
      <c r="C31" s="24" t="s">
        <v>105</v>
      </c>
      <c r="D31" s="24" t="s">
        <v>64</v>
      </c>
      <c r="E31" s="25">
        <v>4237.5600000000004</v>
      </c>
      <c r="F31" s="25">
        <v>3268.88</v>
      </c>
      <c r="G31" s="26">
        <f>T_Ventes[[#This Row],[CA HT]]-T_Ventes[[#This Row],[Coût achat HT]]</f>
        <v>968.68000000000029</v>
      </c>
      <c r="H31" s="27">
        <f>DATE(YEAR(T_Ventes[[#This Row],[Date facture]]),MONTH(T_Ventes[[#This Row],[Date facture]]),1)</f>
        <v>45658</v>
      </c>
      <c r="I31" s="28">
        <f>YEAR(T_Ventes[[#This Row],[Date facture]])</f>
        <v>2025</v>
      </c>
    </row>
    <row r="32" spans="1:9" x14ac:dyDescent="0.3">
      <c r="A32" s="23">
        <v>45680</v>
      </c>
      <c r="B32" s="24" t="s">
        <v>106</v>
      </c>
      <c r="C32" s="24" t="s">
        <v>73</v>
      </c>
      <c r="D32" s="24" t="s">
        <v>64</v>
      </c>
      <c r="E32" s="25">
        <v>5273.01</v>
      </c>
      <c r="F32" s="25">
        <v>4012.41</v>
      </c>
      <c r="G32" s="26">
        <f>T_Ventes[[#This Row],[CA HT]]-T_Ventes[[#This Row],[Coût achat HT]]</f>
        <v>1260.6000000000004</v>
      </c>
      <c r="H32" s="27">
        <f>DATE(YEAR(T_Ventes[[#This Row],[Date facture]]),MONTH(T_Ventes[[#This Row],[Date facture]]),1)</f>
        <v>45658</v>
      </c>
      <c r="I32" s="28">
        <f>YEAR(T_Ventes[[#This Row],[Date facture]])</f>
        <v>2025</v>
      </c>
    </row>
    <row r="33" spans="1:9" x14ac:dyDescent="0.3">
      <c r="A33" s="23">
        <v>45680</v>
      </c>
      <c r="B33" s="24" t="s">
        <v>107</v>
      </c>
      <c r="C33" s="24" t="s">
        <v>108</v>
      </c>
      <c r="D33" s="24" t="s">
        <v>57</v>
      </c>
      <c r="E33" s="25">
        <v>5170.3599999999997</v>
      </c>
      <c r="F33" s="25">
        <v>3344.85</v>
      </c>
      <c r="G33" s="26">
        <f>T_Ventes[[#This Row],[CA HT]]-T_Ventes[[#This Row],[Coût achat HT]]</f>
        <v>1825.5099999999998</v>
      </c>
      <c r="H33" s="27">
        <f>DATE(YEAR(T_Ventes[[#This Row],[Date facture]]),MONTH(T_Ventes[[#This Row],[Date facture]]),1)</f>
        <v>45658</v>
      </c>
      <c r="I33" s="28">
        <f>YEAR(T_Ventes[[#This Row],[Date facture]])</f>
        <v>2025</v>
      </c>
    </row>
    <row r="34" spans="1:9" x14ac:dyDescent="0.3">
      <c r="A34" s="23">
        <v>45683</v>
      </c>
      <c r="B34" s="24" t="s">
        <v>109</v>
      </c>
      <c r="C34" s="24" t="s">
        <v>61</v>
      </c>
      <c r="D34" s="24" t="s">
        <v>64</v>
      </c>
      <c r="E34" s="25">
        <v>4456.91</v>
      </c>
      <c r="F34" s="25">
        <v>3376.54</v>
      </c>
      <c r="G34" s="26">
        <f>T_Ventes[[#This Row],[CA HT]]-T_Ventes[[#This Row],[Coût achat HT]]</f>
        <v>1080.3699999999999</v>
      </c>
      <c r="H34" s="27">
        <f>DATE(YEAR(T_Ventes[[#This Row],[Date facture]]),MONTH(T_Ventes[[#This Row],[Date facture]]),1)</f>
        <v>45658</v>
      </c>
      <c r="I34" s="28">
        <f>YEAR(T_Ventes[[#This Row],[Date facture]])</f>
        <v>2025</v>
      </c>
    </row>
    <row r="35" spans="1:9" x14ac:dyDescent="0.3">
      <c r="A35" s="23">
        <v>45683</v>
      </c>
      <c r="B35" s="24" t="s">
        <v>110</v>
      </c>
      <c r="C35" s="24" t="s">
        <v>80</v>
      </c>
      <c r="D35" s="24" t="s">
        <v>59</v>
      </c>
      <c r="E35" s="25">
        <v>6746.02</v>
      </c>
      <c r="F35" s="25">
        <v>2722.08</v>
      </c>
      <c r="G35" s="26">
        <f>T_Ventes[[#This Row],[CA HT]]-T_Ventes[[#This Row],[Coût achat HT]]</f>
        <v>4023.9400000000005</v>
      </c>
      <c r="H35" s="27">
        <f>DATE(YEAR(T_Ventes[[#This Row],[Date facture]]),MONTH(T_Ventes[[#This Row],[Date facture]]),1)</f>
        <v>45658</v>
      </c>
      <c r="I35" s="28">
        <f>YEAR(T_Ventes[[#This Row],[Date facture]])</f>
        <v>2025</v>
      </c>
    </row>
    <row r="36" spans="1:9" x14ac:dyDescent="0.3">
      <c r="A36" s="23">
        <v>45684</v>
      </c>
      <c r="B36" s="24" t="s">
        <v>111</v>
      </c>
      <c r="C36" s="24" t="s">
        <v>108</v>
      </c>
      <c r="D36" s="24" t="s">
        <v>71</v>
      </c>
      <c r="E36" s="25">
        <v>3941.33</v>
      </c>
      <c r="F36" s="25">
        <v>2336.0100000000002</v>
      </c>
      <c r="G36" s="26">
        <f>T_Ventes[[#This Row],[CA HT]]-T_Ventes[[#This Row],[Coût achat HT]]</f>
        <v>1605.3199999999997</v>
      </c>
      <c r="H36" s="27">
        <f>DATE(YEAR(T_Ventes[[#This Row],[Date facture]]),MONTH(T_Ventes[[#This Row],[Date facture]]),1)</f>
        <v>45658</v>
      </c>
      <c r="I36" s="28">
        <f>YEAR(T_Ventes[[#This Row],[Date facture]])</f>
        <v>2025</v>
      </c>
    </row>
    <row r="37" spans="1:9" x14ac:dyDescent="0.3">
      <c r="A37" s="23">
        <v>45685</v>
      </c>
      <c r="B37" s="24" t="s">
        <v>112</v>
      </c>
      <c r="C37" s="24" t="s">
        <v>66</v>
      </c>
      <c r="D37" s="24" t="s">
        <v>64</v>
      </c>
      <c r="E37" s="25">
        <v>4613.78</v>
      </c>
      <c r="F37" s="25">
        <v>3459.28</v>
      </c>
      <c r="G37" s="26">
        <f>T_Ventes[[#This Row],[CA HT]]-T_Ventes[[#This Row],[Coût achat HT]]</f>
        <v>1154.4999999999995</v>
      </c>
      <c r="H37" s="27">
        <f>DATE(YEAR(T_Ventes[[#This Row],[Date facture]]),MONTH(T_Ventes[[#This Row],[Date facture]]),1)</f>
        <v>45658</v>
      </c>
      <c r="I37" s="28">
        <f>YEAR(T_Ventes[[#This Row],[Date facture]])</f>
        <v>2025</v>
      </c>
    </row>
    <row r="38" spans="1:9" x14ac:dyDescent="0.3">
      <c r="A38" s="23">
        <v>45689</v>
      </c>
      <c r="B38" s="24" t="s">
        <v>113</v>
      </c>
      <c r="C38" s="24" t="s">
        <v>56</v>
      </c>
      <c r="D38" s="24" t="s">
        <v>64</v>
      </c>
      <c r="E38" s="25">
        <v>5725.5</v>
      </c>
      <c r="F38" s="25">
        <v>4347.2700000000004</v>
      </c>
      <c r="G38" s="26">
        <f>T_Ventes[[#This Row],[CA HT]]-T_Ventes[[#This Row],[Coût achat HT]]</f>
        <v>1378.2299999999996</v>
      </c>
      <c r="H38" s="27">
        <f>DATE(YEAR(T_Ventes[[#This Row],[Date facture]]),MONTH(T_Ventes[[#This Row],[Date facture]]),1)</f>
        <v>45689</v>
      </c>
      <c r="I38" s="28">
        <f>YEAR(T_Ventes[[#This Row],[Date facture]])</f>
        <v>2025</v>
      </c>
    </row>
    <row r="39" spans="1:9" x14ac:dyDescent="0.3">
      <c r="A39" s="23">
        <v>45689</v>
      </c>
      <c r="B39" s="24" t="s">
        <v>114</v>
      </c>
      <c r="C39" s="24" t="s">
        <v>115</v>
      </c>
      <c r="D39" s="24" t="s">
        <v>59</v>
      </c>
      <c r="E39" s="25">
        <v>4190.03</v>
      </c>
      <c r="F39" s="25">
        <v>1636.23</v>
      </c>
      <c r="G39" s="26">
        <f>T_Ventes[[#This Row],[CA HT]]-T_Ventes[[#This Row],[Coût achat HT]]</f>
        <v>2553.7999999999997</v>
      </c>
      <c r="H39" s="27">
        <f>DATE(YEAR(T_Ventes[[#This Row],[Date facture]]),MONTH(T_Ventes[[#This Row],[Date facture]]),1)</f>
        <v>45689</v>
      </c>
      <c r="I39" s="28">
        <f>YEAR(T_Ventes[[#This Row],[Date facture]])</f>
        <v>2025</v>
      </c>
    </row>
    <row r="40" spans="1:9" x14ac:dyDescent="0.3">
      <c r="A40" s="23">
        <v>45690</v>
      </c>
      <c r="B40" s="24" t="s">
        <v>116</v>
      </c>
      <c r="C40" s="24" t="s">
        <v>80</v>
      </c>
      <c r="D40" s="24" t="s">
        <v>64</v>
      </c>
      <c r="E40" s="25">
        <v>5427.57</v>
      </c>
      <c r="F40" s="25">
        <v>4070.05</v>
      </c>
      <c r="G40" s="26">
        <f>T_Ventes[[#This Row],[CA HT]]-T_Ventes[[#This Row],[Coût achat HT]]</f>
        <v>1357.5199999999995</v>
      </c>
      <c r="H40" s="27">
        <f>DATE(YEAR(T_Ventes[[#This Row],[Date facture]]),MONTH(T_Ventes[[#This Row],[Date facture]]),1)</f>
        <v>45689</v>
      </c>
      <c r="I40" s="28">
        <f>YEAR(T_Ventes[[#This Row],[Date facture]])</f>
        <v>2025</v>
      </c>
    </row>
    <row r="41" spans="1:9" x14ac:dyDescent="0.3">
      <c r="A41" s="23">
        <v>45690</v>
      </c>
      <c r="B41" s="24" t="s">
        <v>117</v>
      </c>
      <c r="C41" s="24" t="s">
        <v>96</v>
      </c>
      <c r="D41" s="24" t="s">
        <v>64</v>
      </c>
      <c r="E41" s="25">
        <v>3554.79</v>
      </c>
      <c r="F41" s="25">
        <v>2664.87</v>
      </c>
      <c r="G41" s="26">
        <f>T_Ventes[[#This Row],[CA HT]]-T_Ventes[[#This Row],[Coût achat HT]]</f>
        <v>889.92000000000007</v>
      </c>
      <c r="H41" s="27">
        <f>DATE(YEAR(T_Ventes[[#This Row],[Date facture]]),MONTH(T_Ventes[[#This Row],[Date facture]]),1)</f>
        <v>45689</v>
      </c>
      <c r="I41" s="28">
        <f>YEAR(T_Ventes[[#This Row],[Date facture]])</f>
        <v>2025</v>
      </c>
    </row>
    <row r="42" spans="1:9" x14ac:dyDescent="0.3">
      <c r="A42" s="23">
        <v>45690</v>
      </c>
      <c r="B42" s="24" t="s">
        <v>118</v>
      </c>
      <c r="C42" s="24" t="s">
        <v>76</v>
      </c>
      <c r="D42" s="24" t="s">
        <v>64</v>
      </c>
      <c r="E42" s="25">
        <v>1434.75</v>
      </c>
      <c r="F42" s="25">
        <v>1081.6400000000001</v>
      </c>
      <c r="G42" s="26">
        <f>T_Ventes[[#This Row],[CA HT]]-T_Ventes[[#This Row],[Coût achat HT]]</f>
        <v>353.1099999999999</v>
      </c>
      <c r="H42" s="27">
        <f>DATE(YEAR(T_Ventes[[#This Row],[Date facture]]),MONTH(T_Ventes[[#This Row],[Date facture]]),1)</f>
        <v>45689</v>
      </c>
      <c r="I42" s="28">
        <f>YEAR(T_Ventes[[#This Row],[Date facture]])</f>
        <v>2025</v>
      </c>
    </row>
    <row r="43" spans="1:9" x14ac:dyDescent="0.3">
      <c r="A43" s="23">
        <v>45690</v>
      </c>
      <c r="B43" s="24" t="s">
        <v>119</v>
      </c>
      <c r="C43" s="24" t="s">
        <v>56</v>
      </c>
      <c r="D43" s="24" t="s">
        <v>71</v>
      </c>
      <c r="E43" s="25">
        <v>4643.05</v>
      </c>
      <c r="F43" s="25">
        <v>2830.21</v>
      </c>
      <c r="G43" s="26">
        <f>T_Ventes[[#This Row],[CA HT]]-T_Ventes[[#This Row],[Coût achat HT]]</f>
        <v>1812.8400000000001</v>
      </c>
      <c r="H43" s="27">
        <f>DATE(YEAR(T_Ventes[[#This Row],[Date facture]]),MONTH(T_Ventes[[#This Row],[Date facture]]),1)</f>
        <v>45689</v>
      </c>
      <c r="I43" s="28">
        <f>YEAR(T_Ventes[[#This Row],[Date facture]])</f>
        <v>2025</v>
      </c>
    </row>
    <row r="44" spans="1:9" x14ac:dyDescent="0.3">
      <c r="A44" s="23">
        <v>45690</v>
      </c>
      <c r="B44" s="24" t="s">
        <v>120</v>
      </c>
      <c r="C44" s="24" t="s">
        <v>121</v>
      </c>
      <c r="D44" s="24" t="s">
        <v>71</v>
      </c>
      <c r="E44" s="25">
        <v>2400.09</v>
      </c>
      <c r="F44" s="25">
        <v>1434.15</v>
      </c>
      <c r="G44" s="26">
        <f>T_Ventes[[#This Row],[CA HT]]-T_Ventes[[#This Row],[Coût achat HT]]</f>
        <v>965.94</v>
      </c>
      <c r="H44" s="27">
        <f>DATE(YEAR(T_Ventes[[#This Row],[Date facture]]),MONTH(T_Ventes[[#This Row],[Date facture]]),1)</f>
        <v>45689</v>
      </c>
      <c r="I44" s="28">
        <f>YEAR(T_Ventes[[#This Row],[Date facture]])</f>
        <v>2025</v>
      </c>
    </row>
    <row r="45" spans="1:9" x14ac:dyDescent="0.3">
      <c r="A45" s="23">
        <v>45691</v>
      </c>
      <c r="B45" s="24" t="s">
        <v>122</v>
      </c>
      <c r="C45" s="24" t="s">
        <v>123</v>
      </c>
      <c r="D45" s="24" t="s">
        <v>57</v>
      </c>
      <c r="E45" s="25">
        <v>2158.91</v>
      </c>
      <c r="F45" s="25">
        <v>1414.19</v>
      </c>
      <c r="G45" s="26">
        <f>T_Ventes[[#This Row],[CA HT]]-T_Ventes[[#This Row],[Coût achat HT]]</f>
        <v>744.7199999999998</v>
      </c>
      <c r="H45" s="27">
        <f>DATE(YEAR(T_Ventes[[#This Row],[Date facture]]),MONTH(T_Ventes[[#This Row],[Date facture]]),1)</f>
        <v>45689</v>
      </c>
      <c r="I45" s="28">
        <f>YEAR(T_Ventes[[#This Row],[Date facture]])</f>
        <v>2025</v>
      </c>
    </row>
    <row r="46" spans="1:9" x14ac:dyDescent="0.3">
      <c r="A46" s="23">
        <v>45692</v>
      </c>
      <c r="B46" s="24" t="s">
        <v>124</v>
      </c>
      <c r="C46" s="24" t="s">
        <v>66</v>
      </c>
      <c r="D46" s="24" t="s">
        <v>64</v>
      </c>
      <c r="E46" s="25">
        <v>3949.97</v>
      </c>
      <c r="F46" s="25">
        <v>3042.42</v>
      </c>
      <c r="G46" s="26">
        <f>T_Ventes[[#This Row],[CA HT]]-T_Ventes[[#This Row],[Coût achat HT]]</f>
        <v>907.54999999999973</v>
      </c>
      <c r="H46" s="27">
        <f>DATE(YEAR(T_Ventes[[#This Row],[Date facture]]),MONTH(T_Ventes[[#This Row],[Date facture]]),1)</f>
        <v>45689</v>
      </c>
      <c r="I46" s="28">
        <f>YEAR(T_Ventes[[#This Row],[Date facture]])</f>
        <v>2025</v>
      </c>
    </row>
    <row r="47" spans="1:9" x14ac:dyDescent="0.3">
      <c r="A47" s="23">
        <v>45692</v>
      </c>
      <c r="B47" s="24" t="s">
        <v>125</v>
      </c>
      <c r="C47" s="24" t="s">
        <v>68</v>
      </c>
      <c r="D47" s="24" t="s">
        <v>57</v>
      </c>
      <c r="E47" s="25">
        <v>2171.9699999999998</v>
      </c>
      <c r="F47" s="25">
        <v>1449.71</v>
      </c>
      <c r="G47" s="26">
        <f>T_Ventes[[#This Row],[CA HT]]-T_Ventes[[#This Row],[Coût achat HT]]</f>
        <v>722.25999999999976</v>
      </c>
      <c r="H47" s="27">
        <f>DATE(YEAR(T_Ventes[[#This Row],[Date facture]]),MONTH(T_Ventes[[#This Row],[Date facture]]),1)</f>
        <v>45689</v>
      </c>
      <c r="I47" s="28">
        <f>YEAR(T_Ventes[[#This Row],[Date facture]])</f>
        <v>2025</v>
      </c>
    </row>
    <row r="48" spans="1:9" x14ac:dyDescent="0.3">
      <c r="A48" s="23">
        <v>45692</v>
      </c>
      <c r="B48" s="24" t="s">
        <v>126</v>
      </c>
      <c r="C48" s="24" t="s">
        <v>56</v>
      </c>
      <c r="D48" s="24" t="s">
        <v>71</v>
      </c>
      <c r="E48" s="25">
        <v>1940.54</v>
      </c>
      <c r="F48" s="25">
        <v>1140.05</v>
      </c>
      <c r="G48" s="26">
        <f>T_Ventes[[#This Row],[CA HT]]-T_Ventes[[#This Row],[Coût achat HT]]</f>
        <v>800.49</v>
      </c>
      <c r="H48" s="27">
        <f>DATE(YEAR(T_Ventes[[#This Row],[Date facture]]),MONTH(T_Ventes[[#This Row],[Date facture]]),1)</f>
        <v>45689</v>
      </c>
      <c r="I48" s="28">
        <f>YEAR(T_Ventes[[#This Row],[Date facture]])</f>
        <v>2025</v>
      </c>
    </row>
    <row r="49" spans="1:9" x14ac:dyDescent="0.3">
      <c r="A49" s="23">
        <v>45693</v>
      </c>
      <c r="B49" s="24" t="s">
        <v>127</v>
      </c>
      <c r="C49" s="24" t="s">
        <v>128</v>
      </c>
      <c r="D49" s="24" t="s">
        <v>64</v>
      </c>
      <c r="E49" s="25">
        <v>2133.35</v>
      </c>
      <c r="F49" s="25">
        <v>1636.35</v>
      </c>
      <c r="G49" s="26">
        <f>T_Ventes[[#This Row],[CA HT]]-T_Ventes[[#This Row],[Coût achat HT]]</f>
        <v>497</v>
      </c>
      <c r="H49" s="27">
        <f>DATE(YEAR(T_Ventes[[#This Row],[Date facture]]),MONTH(T_Ventes[[#This Row],[Date facture]]),1)</f>
        <v>45689</v>
      </c>
      <c r="I49" s="28">
        <f>YEAR(T_Ventes[[#This Row],[Date facture]])</f>
        <v>2025</v>
      </c>
    </row>
    <row r="50" spans="1:9" x14ac:dyDescent="0.3">
      <c r="A50" s="23">
        <v>45693</v>
      </c>
      <c r="B50" s="24" t="s">
        <v>129</v>
      </c>
      <c r="C50" s="24" t="s">
        <v>56</v>
      </c>
      <c r="D50" s="24" t="s">
        <v>64</v>
      </c>
      <c r="E50" s="25">
        <v>5624.41</v>
      </c>
      <c r="F50" s="25">
        <v>4228.07</v>
      </c>
      <c r="G50" s="26">
        <f>T_Ventes[[#This Row],[CA HT]]-T_Ventes[[#This Row],[Coût achat HT]]</f>
        <v>1396.3400000000001</v>
      </c>
      <c r="H50" s="27">
        <f>DATE(YEAR(T_Ventes[[#This Row],[Date facture]]),MONTH(T_Ventes[[#This Row],[Date facture]]),1)</f>
        <v>45689</v>
      </c>
      <c r="I50" s="28">
        <f>YEAR(T_Ventes[[#This Row],[Date facture]])</f>
        <v>2025</v>
      </c>
    </row>
    <row r="51" spans="1:9" x14ac:dyDescent="0.3">
      <c r="A51" s="23">
        <v>45693</v>
      </c>
      <c r="B51" s="24" t="s">
        <v>130</v>
      </c>
      <c r="C51" s="24" t="s">
        <v>56</v>
      </c>
      <c r="D51" s="24" t="s">
        <v>57</v>
      </c>
      <c r="E51" s="25">
        <v>4190.26</v>
      </c>
      <c r="F51" s="25">
        <v>2799.24</v>
      </c>
      <c r="G51" s="26">
        <f>T_Ventes[[#This Row],[CA HT]]-T_Ventes[[#This Row],[Coût achat HT]]</f>
        <v>1391.0200000000004</v>
      </c>
      <c r="H51" s="27">
        <f>DATE(YEAR(T_Ventes[[#This Row],[Date facture]]),MONTH(T_Ventes[[#This Row],[Date facture]]),1)</f>
        <v>45689</v>
      </c>
      <c r="I51" s="28">
        <f>YEAR(T_Ventes[[#This Row],[Date facture]])</f>
        <v>2025</v>
      </c>
    </row>
    <row r="52" spans="1:9" x14ac:dyDescent="0.3">
      <c r="A52" s="23">
        <v>45695</v>
      </c>
      <c r="B52" s="24" t="s">
        <v>131</v>
      </c>
      <c r="C52" s="24" t="s">
        <v>108</v>
      </c>
      <c r="D52" s="24" t="s">
        <v>64</v>
      </c>
      <c r="E52" s="25">
        <v>4381.2</v>
      </c>
      <c r="F52" s="25">
        <v>3310.93</v>
      </c>
      <c r="G52" s="26">
        <f>T_Ventes[[#This Row],[CA HT]]-T_Ventes[[#This Row],[Coût achat HT]]</f>
        <v>1070.27</v>
      </c>
      <c r="H52" s="27">
        <f>DATE(YEAR(T_Ventes[[#This Row],[Date facture]]),MONTH(T_Ventes[[#This Row],[Date facture]]),1)</f>
        <v>45689</v>
      </c>
      <c r="I52" s="28">
        <f>YEAR(T_Ventes[[#This Row],[Date facture]])</f>
        <v>2025</v>
      </c>
    </row>
    <row r="53" spans="1:9" x14ac:dyDescent="0.3">
      <c r="A53" s="23">
        <v>45695</v>
      </c>
      <c r="B53" s="24" t="s">
        <v>132</v>
      </c>
      <c r="C53" s="24" t="s">
        <v>128</v>
      </c>
      <c r="D53" s="24" t="s">
        <v>71</v>
      </c>
      <c r="E53" s="25">
        <v>5222.1099999999997</v>
      </c>
      <c r="F53" s="25">
        <v>3096.86</v>
      </c>
      <c r="G53" s="26">
        <f>T_Ventes[[#This Row],[CA HT]]-T_Ventes[[#This Row],[Coût achat HT]]</f>
        <v>2125.2499999999995</v>
      </c>
      <c r="H53" s="27">
        <f>DATE(YEAR(T_Ventes[[#This Row],[Date facture]]),MONTH(T_Ventes[[#This Row],[Date facture]]),1)</f>
        <v>45689</v>
      </c>
      <c r="I53" s="28">
        <f>YEAR(T_Ventes[[#This Row],[Date facture]])</f>
        <v>2025</v>
      </c>
    </row>
    <row r="54" spans="1:9" x14ac:dyDescent="0.3">
      <c r="A54" s="23">
        <v>45697</v>
      </c>
      <c r="B54" s="24" t="s">
        <v>133</v>
      </c>
      <c r="C54" s="24" t="s">
        <v>56</v>
      </c>
      <c r="D54" s="24" t="s">
        <v>71</v>
      </c>
      <c r="E54" s="25">
        <v>4452.71</v>
      </c>
      <c r="F54" s="25">
        <v>2643.23</v>
      </c>
      <c r="G54" s="26">
        <f>T_Ventes[[#This Row],[CA HT]]-T_Ventes[[#This Row],[Coût achat HT]]</f>
        <v>1809.48</v>
      </c>
      <c r="H54" s="27">
        <f>DATE(YEAR(T_Ventes[[#This Row],[Date facture]]),MONTH(T_Ventes[[#This Row],[Date facture]]),1)</f>
        <v>45689</v>
      </c>
      <c r="I54" s="28">
        <f>YEAR(T_Ventes[[#This Row],[Date facture]])</f>
        <v>2025</v>
      </c>
    </row>
    <row r="55" spans="1:9" x14ac:dyDescent="0.3">
      <c r="A55" s="23">
        <v>45697</v>
      </c>
      <c r="B55" s="24" t="s">
        <v>134</v>
      </c>
      <c r="C55" s="24" t="s">
        <v>66</v>
      </c>
      <c r="D55" s="24" t="s">
        <v>59</v>
      </c>
      <c r="E55" s="25">
        <v>1908.65</v>
      </c>
      <c r="F55" s="25">
        <v>672.38</v>
      </c>
      <c r="G55" s="26">
        <f>T_Ventes[[#This Row],[CA HT]]-T_Ventes[[#This Row],[Coût achat HT]]</f>
        <v>1236.27</v>
      </c>
      <c r="H55" s="27">
        <f>DATE(YEAR(T_Ventes[[#This Row],[Date facture]]),MONTH(T_Ventes[[#This Row],[Date facture]]),1)</f>
        <v>45689</v>
      </c>
      <c r="I55" s="28">
        <f>YEAR(T_Ventes[[#This Row],[Date facture]])</f>
        <v>2025</v>
      </c>
    </row>
    <row r="56" spans="1:9" x14ac:dyDescent="0.3">
      <c r="A56" s="23">
        <v>45698</v>
      </c>
      <c r="B56" s="24" t="s">
        <v>135</v>
      </c>
      <c r="C56" s="24" t="s">
        <v>63</v>
      </c>
      <c r="D56" s="24" t="s">
        <v>57</v>
      </c>
      <c r="E56" s="25">
        <v>3713.94</v>
      </c>
      <c r="F56" s="25">
        <v>2429.6999999999998</v>
      </c>
      <c r="G56" s="26">
        <f>T_Ventes[[#This Row],[CA HT]]-T_Ventes[[#This Row],[Coût achat HT]]</f>
        <v>1284.2400000000002</v>
      </c>
      <c r="H56" s="27">
        <f>DATE(YEAR(T_Ventes[[#This Row],[Date facture]]),MONTH(T_Ventes[[#This Row],[Date facture]]),1)</f>
        <v>45689</v>
      </c>
      <c r="I56" s="28">
        <f>YEAR(T_Ventes[[#This Row],[Date facture]])</f>
        <v>2025</v>
      </c>
    </row>
    <row r="57" spans="1:9" x14ac:dyDescent="0.3">
      <c r="A57" s="23">
        <v>45698</v>
      </c>
      <c r="B57" s="24" t="s">
        <v>136</v>
      </c>
      <c r="C57" s="24" t="s">
        <v>100</v>
      </c>
      <c r="D57" s="24" t="s">
        <v>71</v>
      </c>
      <c r="E57" s="25">
        <v>1868.96</v>
      </c>
      <c r="F57" s="25">
        <v>1128.6300000000001</v>
      </c>
      <c r="G57" s="26">
        <f>T_Ventes[[#This Row],[CA HT]]-T_Ventes[[#This Row],[Coût achat HT]]</f>
        <v>740.32999999999993</v>
      </c>
      <c r="H57" s="27">
        <f>DATE(YEAR(T_Ventes[[#This Row],[Date facture]]),MONTH(T_Ventes[[#This Row],[Date facture]]),1)</f>
        <v>45689</v>
      </c>
      <c r="I57" s="28">
        <f>YEAR(T_Ventes[[#This Row],[Date facture]])</f>
        <v>2025</v>
      </c>
    </row>
    <row r="58" spans="1:9" x14ac:dyDescent="0.3">
      <c r="A58" s="23">
        <v>45699</v>
      </c>
      <c r="B58" s="24" t="s">
        <v>137</v>
      </c>
      <c r="C58" s="24" t="s">
        <v>103</v>
      </c>
      <c r="D58" s="24" t="s">
        <v>64</v>
      </c>
      <c r="E58" s="25">
        <v>4643.09</v>
      </c>
      <c r="F58" s="25">
        <v>3529.02</v>
      </c>
      <c r="G58" s="26">
        <f>T_Ventes[[#This Row],[CA HT]]-T_Ventes[[#This Row],[Coût achat HT]]</f>
        <v>1114.0700000000002</v>
      </c>
      <c r="H58" s="27">
        <f>DATE(YEAR(T_Ventes[[#This Row],[Date facture]]),MONTH(T_Ventes[[#This Row],[Date facture]]),1)</f>
        <v>45689</v>
      </c>
      <c r="I58" s="28">
        <f>YEAR(T_Ventes[[#This Row],[Date facture]])</f>
        <v>2025</v>
      </c>
    </row>
    <row r="59" spans="1:9" x14ac:dyDescent="0.3">
      <c r="A59" s="23">
        <v>45700</v>
      </c>
      <c r="B59" s="24" t="s">
        <v>138</v>
      </c>
      <c r="C59" s="24" t="s">
        <v>139</v>
      </c>
      <c r="D59" s="24" t="s">
        <v>57</v>
      </c>
      <c r="E59" s="25">
        <v>5848.16</v>
      </c>
      <c r="F59" s="25">
        <v>3889.27</v>
      </c>
      <c r="G59" s="26">
        <f>T_Ventes[[#This Row],[CA HT]]-T_Ventes[[#This Row],[Coût achat HT]]</f>
        <v>1958.8899999999999</v>
      </c>
      <c r="H59" s="27">
        <f>DATE(YEAR(T_Ventes[[#This Row],[Date facture]]),MONTH(T_Ventes[[#This Row],[Date facture]]),1)</f>
        <v>45689</v>
      </c>
      <c r="I59" s="28">
        <f>YEAR(T_Ventes[[#This Row],[Date facture]])</f>
        <v>2025</v>
      </c>
    </row>
    <row r="60" spans="1:9" x14ac:dyDescent="0.3">
      <c r="A60" s="23">
        <v>45700</v>
      </c>
      <c r="B60" s="24" t="s">
        <v>140</v>
      </c>
      <c r="C60" s="24" t="s">
        <v>56</v>
      </c>
      <c r="D60" s="24" t="s">
        <v>59</v>
      </c>
      <c r="E60" s="25">
        <v>3430.52</v>
      </c>
      <c r="F60" s="25">
        <v>1257.83</v>
      </c>
      <c r="G60" s="26">
        <f>T_Ventes[[#This Row],[CA HT]]-T_Ventes[[#This Row],[Coût achat HT]]</f>
        <v>2172.69</v>
      </c>
      <c r="H60" s="27">
        <f>DATE(YEAR(T_Ventes[[#This Row],[Date facture]]),MONTH(T_Ventes[[#This Row],[Date facture]]),1)</f>
        <v>45689</v>
      </c>
      <c r="I60" s="28">
        <f>YEAR(T_Ventes[[#This Row],[Date facture]])</f>
        <v>2025</v>
      </c>
    </row>
    <row r="61" spans="1:9" x14ac:dyDescent="0.3">
      <c r="A61" s="23">
        <v>45701</v>
      </c>
      <c r="B61" s="24" t="s">
        <v>141</v>
      </c>
      <c r="C61" s="24" t="s">
        <v>115</v>
      </c>
      <c r="D61" s="24" t="s">
        <v>64</v>
      </c>
      <c r="E61" s="25">
        <v>2552.41</v>
      </c>
      <c r="F61" s="25">
        <v>1937.81</v>
      </c>
      <c r="G61" s="26">
        <f>T_Ventes[[#This Row],[CA HT]]-T_Ventes[[#This Row],[Coût achat HT]]</f>
        <v>614.59999999999991</v>
      </c>
      <c r="H61" s="27">
        <f>DATE(YEAR(T_Ventes[[#This Row],[Date facture]]),MONTH(T_Ventes[[#This Row],[Date facture]]),1)</f>
        <v>45689</v>
      </c>
      <c r="I61" s="28">
        <f>YEAR(T_Ventes[[#This Row],[Date facture]])</f>
        <v>2025</v>
      </c>
    </row>
    <row r="62" spans="1:9" x14ac:dyDescent="0.3">
      <c r="A62" s="23">
        <v>45702</v>
      </c>
      <c r="B62" s="24" t="s">
        <v>142</v>
      </c>
      <c r="C62" s="24" t="s">
        <v>66</v>
      </c>
      <c r="D62" s="24" t="s">
        <v>64</v>
      </c>
      <c r="E62" s="25">
        <v>1789.5</v>
      </c>
      <c r="F62" s="25">
        <v>1375.11</v>
      </c>
      <c r="G62" s="26">
        <f>T_Ventes[[#This Row],[CA HT]]-T_Ventes[[#This Row],[Coût achat HT]]</f>
        <v>414.3900000000001</v>
      </c>
      <c r="H62" s="27">
        <f>DATE(YEAR(T_Ventes[[#This Row],[Date facture]]),MONTH(T_Ventes[[#This Row],[Date facture]]),1)</f>
        <v>45689</v>
      </c>
      <c r="I62" s="28">
        <f>YEAR(T_Ventes[[#This Row],[Date facture]])</f>
        <v>2025</v>
      </c>
    </row>
    <row r="63" spans="1:9" x14ac:dyDescent="0.3">
      <c r="A63" s="23">
        <v>45702</v>
      </c>
      <c r="B63" s="24" t="s">
        <v>143</v>
      </c>
      <c r="C63" s="24" t="s">
        <v>63</v>
      </c>
      <c r="D63" s="24" t="s">
        <v>57</v>
      </c>
      <c r="E63" s="25">
        <v>3825.33</v>
      </c>
      <c r="F63" s="25">
        <v>2481.34</v>
      </c>
      <c r="G63" s="26">
        <f>T_Ventes[[#This Row],[CA HT]]-T_Ventes[[#This Row],[Coût achat HT]]</f>
        <v>1343.9899999999998</v>
      </c>
      <c r="H63" s="27">
        <f>DATE(YEAR(T_Ventes[[#This Row],[Date facture]]),MONTH(T_Ventes[[#This Row],[Date facture]]),1)</f>
        <v>45689</v>
      </c>
      <c r="I63" s="28">
        <f>YEAR(T_Ventes[[#This Row],[Date facture]])</f>
        <v>2025</v>
      </c>
    </row>
    <row r="64" spans="1:9" x14ac:dyDescent="0.3">
      <c r="A64" s="23">
        <v>45703</v>
      </c>
      <c r="B64" s="24" t="s">
        <v>144</v>
      </c>
      <c r="C64" s="24" t="s">
        <v>105</v>
      </c>
      <c r="D64" s="24" t="s">
        <v>64</v>
      </c>
      <c r="E64" s="25">
        <v>1689.14</v>
      </c>
      <c r="F64" s="25">
        <v>1271.3800000000001</v>
      </c>
      <c r="G64" s="26">
        <f>T_Ventes[[#This Row],[CA HT]]-T_Ventes[[#This Row],[Coût achat HT]]</f>
        <v>417.76</v>
      </c>
      <c r="H64" s="27">
        <f>DATE(YEAR(T_Ventes[[#This Row],[Date facture]]),MONTH(T_Ventes[[#This Row],[Date facture]]),1)</f>
        <v>45689</v>
      </c>
      <c r="I64" s="28">
        <f>YEAR(T_Ventes[[#This Row],[Date facture]])</f>
        <v>2025</v>
      </c>
    </row>
    <row r="65" spans="1:9" x14ac:dyDescent="0.3">
      <c r="A65" s="23">
        <v>45704</v>
      </c>
      <c r="B65" s="24" t="s">
        <v>145</v>
      </c>
      <c r="C65" s="24" t="s">
        <v>115</v>
      </c>
      <c r="D65" s="24" t="s">
        <v>64</v>
      </c>
      <c r="E65" s="25">
        <v>3490.56</v>
      </c>
      <c r="F65" s="25">
        <v>2669.27</v>
      </c>
      <c r="G65" s="26">
        <f>T_Ventes[[#This Row],[CA HT]]-T_Ventes[[#This Row],[Coût achat HT]]</f>
        <v>821.29</v>
      </c>
      <c r="H65" s="27">
        <f>DATE(YEAR(T_Ventes[[#This Row],[Date facture]]),MONTH(T_Ventes[[#This Row],[Date facture]]),1)</f>
        <v>45689</v>
      </c>
      <c r="I65" s="28">
        <f>YEAR(T_Ventes[[#This Row],[Date facture]])</f>
        <v>2025</v>
      </c>
    </row>
    <row r="66" spans="1:9" x14ac:dyDescent="0.3">
      <c r="A66" s="23">
        <v>45705</v>
      </c>
      <c r="B66" s="24" t="s">
        <v>146</v>
      </c>
      <c r="C66" s="24" t="s">
        <v>78</v>
      </c>
      <c r="D66" s="24" t="s">
        <v>57</v>
      </c>
      <c r="E66" s="25">
        <v>3360.18</v>
      </c>
      <c r="F66" s="25">
        <v>2181.6</v>
      </c>
      <c r="G66" s="26">
        <f>T_Ventes[[#This Row],[CA HT]]-T_Ventes[[#This Row],[Coût achat HT]]</f>
        <v>1178.58</v>
      </c>
      <c r="H66" s="27">
        <f>DATE(YEAR(T_Ventes[[#This Row],[Date facture]]),MONTH(T_Ventes[[#This Row],[Date facture]]),1)</f>
        <v>45689</v>
      </c>
      <c r="I66" s="28">
        <f>YEAR(T_Ventes[[#This Row],[Date facture]])</f>
        <v>2025</v>
      </c>
    </row>
    <row r="67" spans="1:9" x14ac:dyDescent="0.3">
      <c r="A67" s="23">
        <v>45708</v>
      </c>
      <c r="B67" s="24" t="s">
        <v>147</v>
      </c>
      <c r="C67" s="24" t="s">
        <v>73</v>
      </c>
      <c r="D67" s="24" t="s">
        <v>64</v>
      </c>
      <c r="E67" s="25">
        <v>3974.53</v>
      </c>
      <c r="F67" s="25">
        <v>3011.27</v>
      </c>
      <c r="G67" s="26">
        <f>T_Ventes[[#This Row],[CA HT]]-T_Ventes[[#This Row],[Coût achat HT]]</f>
        <v>963.26000000000022</v>
      </c>
      <c r="H67" s="27">
        <f>DATE(YEAR(T_Ventes[[#This Row],[Date facture]]),MONTH(T_Ventes[[#This Row],[Date facture]]),1)</f>
        <v>45689</v>
      </c>
      <c r="I67" s="28">
        <f>YEAR(T_Ventes[[#This Row],[Date facture]])</f>
        <v>2025</v>
      </c>
    </row>
    <row r="68" spans="1:9" x14ac:dyDescent="0.3">
      <c r="A68" s="23">
        <v>45708</v>
      </c>
      <c r="B68" s="24" t="s">
        <v>148</v>
      </c>
      <c r="C68" s="24" t="s">
        <v>68</v>
      </c>
      <c r="D68" s="24" t="s">
        <v>71</v>
      </c>
      <c r="E68" s="25">
        <v>3557.08</v>
      </c>
      <c r="F68" s="25">
        <v>2067.44</v>
      </c>
      <c r="G68" s="26">
        <f>T_Ventes[[#This Row],[CA HT]]-T_Ventes[[#This Row],[Coût achat HT]]</f>
        <v>1489.6399999999999</v>
      </c>
      <c r="H68" s="27">
        <f>DATE(YEAR(T_Ventes[[#This Row],[Date facture]]),MONTH(T_Ventes[[#This Row],[Date facture]]),1)</f>
        <v>45689</v>
      </c>
      <c r="I68" s="28">
        <f>YEAR(T_Ventes[[#This Row],[Date facture]])</f>
        <v>2025</v>
      </c>
    </row>
    <row r="69" spans="1:9" x14ac:dyDescent="0.3">
      <c r="A69" s="23">
        <v>45710</v>
      </c>
      <c r="B69" s="24" t="s">
        <v>149</v>
      </c>
      <c r="C69" s="24" t="s">
        <v>92</v>
      </c>
      <c r="D69" s="24" t="s">
        <v>64</v>
      </c>
      <c r="E69" s="25">
        <v>5842.63</v>
      </c>
      <c r="F69" s="25">
        <v>4433.76</v>
      </c>
      <c r="G69" s="26">
        <f>T_Ventes[[#This Row],[CA HT]]-T_Ventes[[#This Row],[Coût achat HT]]</f>
        <v>1408.87</v>
      </c>
      <c r="H69" s="27">
        <f>DATE(YEAR(T_Ventes[[#This Row],[Date facture]]),MONTH(T_Ventes[[#This Row],[Date facture]]),1)</f>
        <v>45689</v>
      </c>
      <c r="I69" s="28">
        <f>YEAR(T_Ventes[[#This Row],[Date facture]])</f>
        <v>2025</v>
      </c>
    </row>
    <row r="70" spans="1:9" x14ac:dyDescent="0.3">
      <c r="A70" s="23">
        <v>45710</v>
      </c>
      <c r="B70" s="24" t="s">
        <v>150</v>
      </c>
      <c r="C70" s="24" t="s">
        <v>105</v>
      </c>
      <c r="D70" s="24" t="s">
        <v>57</v>
      </c>
      <c r="E70" s="25">
        <v>2809.84</v>
      </c>
      <c r="F70" s="25">
        <v>1850.83</v>
      </c>
      <c r="G70" s="26">
        <f>T_Ventes[[#This Row],[CA HT]]-T_Ventes[[#This Row],[Coût achat HT]]</f>
        <v>959.01000000000022</v>
      </c>
      <c r="H70" s="27">
        <f>DATE(YEAR(T_Ventes[[#This Row],[Date facture]]),MONTH(T_Ventes[[#This Row],[Date facture]]),1)</f>
        <v>45689</v>
      </c>
      <c r="I70" s="28">
        <f>YEAR(T_Ventes[[#This Row],[Date facture]])</f>
        <v>2025</v>
      </c>
    </row>
    <row r="71" spans="1:9" x14ac:dyDescent="0.3">
      <c r="A71" s="23">
        <v>45712</v>
      </c>
      <c r="B71" s="24" t="s">
        <v>151</v>
      </c>
      <c r="C71" s="24" t="s">
        <v>152</v>
      </c>
      <c r="D71" s="24" t="s">
        <v>59</v>
      </c>
      <c r="E71" s="25">
        <v>7016.37</v>
      </c>
      <c r="F71" s="25">
        <v>2535.7800000000002</v>
      </c>
      <c r="G71" s="26">
        <f>T_Ventes[[#This Row],[CA HT]]-T_Ventes[[#This Row],[Coût achat HT]]</f>
        <v>4480.59</v>
      </c>
      <c r="H71" s="27">
        <f>DATE(YEAR(T_Ventes[[#This Row],[Date facture]]),MONTH(T_Ventes[[#This Row],[Date facture]]),1)</f>
        <v>45689</v>
      </c>
      <c r="I71" s="28">
        <f>YEAR(T_Ventes[[#This Row],[Date facture]])</f>
        <v>2025</v>
      </c>
    </row>
    <row r="72" spans="1:9" x14ac:dyDescent="0.3">
      <c r="A72" s="23">
        <v>45713</v>
      </c>
      <c r="B72" s="24" t="s">
        <v>153</v>
      </c>
      <c r="C72" s="24" t="s">
        <v>94</v>
      </c>
      <c r="D72" s="24" t="s">
        <v>64</v>
      </c>
      <c r="E72" s="25">
        <v>5800.55</v>
      </c>
      <c r="F72" s="25">
        <v>4474.46</v>
      </c>
      <c r="G72" s="26">
        <f>T_Ventes[[#This Row],[CA HT]]-T_Ventes[[#This Row],[Coût achat HT]]</f>
        <v>1326.0900000000001</v>
      </c>
      <c r="H72" s="27">
        <f>DATE(YEAR(T_Ventes[[#This Row],[Date facture]]),MONTH(T_Ventes[[#This Row],[Date facture]]),1)</f>
        <v>45689</v>
      </c>
      <c r="I72" s="28">
        <f>YEAR(T_Ventes[[#This Row],[Date facture]])</f>
        <v>2025</v>
      </c>
    </row>
    <row r="73" spans="1:9" x14ac:dyDescent="0.3">
      <c r="A73" s="23">
        <v>45713</v>
      </c>
      <c r="B73" s="24" t="s">
        <v>154</v>
      </c>
      <c r="C73" s="24" t="s">
        <v>105</v>
      </c>
      <c r="D73" s="24" t="s">
        <v>57</v>
      </c>
      <c r="E73" s="25">
        <v>4144.6400000000003</v>
      </c>
      <c r="F73" s="25">
        <v>2775.7</v>
      </c>
      <c r="G73" s="26">
        <f>T_Ventes[[#This Row],[CA HT]]-T_Ventes[[#This Row],[Coût achat HT]]</f>
        <v>1368.9400000000005</v>
      </c>
      <c r="H73" s="27">
        <f>DATE(YEAR(T_Ventes[[#This Row],[Date facture]]),MONTH(T_Ventes[[#This Row],[Date facture]]),1)</f>
        <v>45689</v>
      </c>
      <c r="I73" s="28">
        <f>YEAR(T_Ventes[[#This Row],[Date facture]])</f>
        <v>2025</v>
      </c>
    </row>
    <row r="74" spans="1:9" x14ac:dyDescent="0.3">
      <c r="A74" s="23">
        <v>45713</v>
      </c>
      <c r="B74" s="24" t="s">
        <v>155</v>
      </c>
      <c r="C74" s="24" t="s">
        <v>80</v>
      </c>
      <c r="D74" s="24" t="s">
        <v>71</v>
      </c>
      <c r="E74" s="25">
        <v>4828.07</v>
      </c>
      <c r="F74" s="25">
        <v>2756.43</v>
      </c>
      <c r="G74" s="26">
        <f>T_Ventes[[#This Row],[CA HT]]-T_Ventes[[#This Row],[Coût achat HT]]</f>
        <v>2071.64</v>
      </c>
      <c r="H74" s="27">
        <f>DATE(YEAR(T_Ventes[[#This Row],[Date facture]]),MONTH(T_Ventes[[#This Row],[Date facture]]),1)</f>
        <v>45689</v>
      </c>
      <c r="I74" s="28">
        <f>YEAR(T_Ventes[[#This Row],[Date facture]])</f>
        <v>2025</v>
      </c>
    </row>
    <row r="75" spans="1:9" x14ac:dyDescent="0.3">
      <c r="A75" s="23">
        <v>45714</v>
      </c>
      <c r="B75" s="24" t="s">
        <v>156</v>
      </c>
      <c r="C75" s="24" t="s">
        <v>80</v>
      </c>
      <c r="D75" s="24" t="s">
        <v>64</v>
      </c>
      <c r="E75" s="25">
        <v>2589.9299999999998</v>
      </c>
      <c r="F75" s="25">
        <v>1998.55</v>
      </c>
      <c r="G75" s="26">
        <f>T_Ventes[[#This Row],[CA HT]]-T_Ventes[[#This Row],[Coût achat HT]]</f>
        <v>591.37999999999988</v>
      </c>
      <c r="H75" s="27">
        <f>DATE(YEAR(T_Ventes[[#This Row],[Date facture]]),MONTH(T_Ventes[[#This Row],[Date facture]]),1)</f>
        <v>45689</v>
      </c>
      <c r="I75" s="28">
        <f>YEAR(T_Ventes[[#This Row],[Date facture]])</f>
        <v>2025</v>
      </c>
    </row>
    <row r="76" spans="1:9" x14ac:dyDescent="0.3">
      <c r="A76" s="23">
        <v>45714</v>
      </c>
      <c r="B76" s="24" t="s">
        <v>157</v>
      </c>
      <c r="C76" s="24" t="s">
        <v>158</v>
      </c>
      <c r="D76" s="24" t="s">
        <v>64</v>
      </c>
      <c r="E76" s="25">
        <v>4960.7</v>
      </c>
      <c r="F76" s="25">
        <v>3723.15</v>
      </c>
      <c r="G76" s="26">
        <f>T_Ventes[[#This Row],[CA HT]]-T_Ventes[[#This Row],[Coût achat HT]]</f>
        <v>1237.5499999999997</v>
      </c>
      <c r="H76" s="27">
        <f>DATE(YEAR(T_Ventes[[#This Row],[Date facture]]),MONTH(T_Ventes[[#This Row],[Date facture]]),1)</f>
        <v>45689</v>
      </c>
      <c r="I76" s="28">
        <f>YEAR(T_Ventes[[#This Row],[Date facture]])</f>
        <v>2025</v>
      </c>
    </row>
    <row r="77" spans="1:9" x14ac:dyDescent="0.3">
      <c r="A77" s="23">
        <v>45715</v>
      </c>
      <c r="B77" s="24" t="s">
        <v>159</v>
      </c>
      <c r="C77" s="24" t="s">
        <v>73</v>
      </c>
      <c r="D77" s="24" t="s">
        <v>64</v>
      </c>
      <c r="E77" s="25">
        <v>4890.53</v>
      </c>
      <c r="F77" s="25">
        <v>3734.01</v>
      </c>
      <c r="G77" s="26">
        <f>T_Ventes[[#This Row],[CA HT]]-T_Ventes[[#This Row],[Coût achat HT]]</f>
        <v>1156.5199999999995</v>
      </c>
      <c r="H77" s="27">
        <f>DATE(YEAR(T_Ventes[[#This Row],[Date facture]]),MONTH(T_Ventes[[#This Row],[Date facture]]),1)</f>
        <v>45689</v>
      </c>
      <c r="I77" s="28">
        <f>YEAR(T_Ventes[[#This Row],[Date facture]])</f>
        <v>2025</v>
      </c>
    </row>
    <row r="78" spans="1:9" x14ac:dyDescent="0.3">
      <c r="A78" s="23">
        <v>45716</v>
      </c>
      <c r="B78" s="24" t="s">
        <v>160</v>
      </c>
      <c r="C78" s="24" t="s">
        <v>80</v>
      </c>
      <c r="D78" s="24" t="s">
        <v>57</v>
      </c>
      <c r="E78" s="25">
        <v>2230.9499999999998</v>
      </c>
      <c r="F78" s="25">
        <v>1509.98</v>
      </c>
      <c r="G78" s="26">
        <f>T_Ventes[[#This Row],[CA HT]]-T_Ventes[[#This Row],[Coût achat HT]]</f>
        <v>720.9699999999998</v>
      </c>
      <c r="H78" s="27">
        <f>DATE(YEAR(T_Ventes[[#This Row],[Date facture]]),MONTH(T_Ventes[[#This Row],[Date facture]]),1)</f>
        <v>45689</v>
      </c>
      <c r="I78" s="28">
        <f>YEAR(T_Ventes[[#This Row],[Date facture]])</f>
        <v>2025</v>
      </c>
    </row>
    <row r="79" spans="1:9" x14ac:dyDescent="0.3">
      <c r="A79" s="23">
        <v>45716</v>
      </c>
      <c r="B79" s="24" t="s">
        <v>161</v>
      </c>
      <c r="C79" s="24" t="s">
        <v>162</v>
      </c>
      <c r="D79" s="24" t="s">
        <v>57</v>
      </c>
      <c r="E79" s="25">
        <v>6909.77</v>
      </c>
      <c r="F79" s="25">
        <v>4452.1000000000004</v>
      </c>
      <c r="G79" s="26">
        <f>T_Ventes[[#This Row],[CA HT]]-T_Ventes[[#This Row],[Coût achat HT]]</f>
        <v>2457.67</v>
      </c>
      <c r="H79" s="27">
        <f>DATE(YEAR(T_Ventes[[#This Row],[Date facture]]),MONTH(T_Ventes[[#This Row],[Date facture]]),1)</f>
        <v>45689</v>
      </c>
      <c r="I79" s="28">
        <f>YEAR(T_Ventes[[#This Row],[Date facture]])</f>
        <v>2025</v>
      </c>
    </row>
    <row r="80" spans="1:9" x14ac:dyDescent="0.3">
      <c r="A80" s="23">
        <v>45716</v>
      </c>
      <c r="B80" s="24" t="s">
        <v>163</v>
      </c>
      <c r="C80" s="24" t="s">
        <v>73</v>
      </c>
      <c r="D80" s="24" t="s">
        <v>71</v>
      </c>
      <c r="E80" s="25">
        <v>4178.5600000000004</v>
      </c>
      <c r="F80" s="25">
        <v>2417.42</v>
      </c>
      <c r="G80" s="26">
        <f>T_Ventes[[#This Row],[CA HT]]-T_Ventes[[#This Row],[Coût achat HT]]</f>
        <v>1761.1400000000003</v>
      </c>
      <c r="H80" s="27">
        <f>DATE(YEAR(T_Ventes[[#This Row],[Date facture]]),MONTH(T_Ventes[[#This Row],[Date facture]]),1)</f>
        <v>45689</v>
      </c>
      <c r="I80" s="28">
        <f>YEAR(T_Ventes[[#This Row],[Date facture]])</f>
        <v>2025</v>
      </c>
    </row>
    <row r="81" spans="1:9" x14ac:dyDescent="0.3">
      <c r="A81" s="23">
        <v>45719</v>
      </c>
      <c r="B81" s="24" t="s">
        <v>164</v>
      </c>
      <c r="C81" s="24" t="s">
        <v>139</v>
      </c>
      <c r="D81" s="24" t="s">
        <v>64</v>
      </c>
      <c r="E81" s="25">
        <v>5816.77</v>
      </c>
      <c r="F81" s="25">
        <v>4413.3500000000004</v>
      </c>
      <c r="G81" s="26">
        <f>T_Ventes[[#This Row],[CA HT]]-T_Ventes[[#This Row],[Coût achat HT]]</f>
        <v>1403.42</v>
      </c>
      <c r="H81" s="27">
        <f>DATE(YEAR(T_Ventes[[#This Row],[Date facture]]),MONTH(T_Ventes[[#This Row],[Date facture]]),1)</f>
        <v>45717</v>
      </c>
      <c r="I81" s="28">
        <f>YEAR(T_Ventes[[#This Row],[Date facture]])</f>
        <v>2025</v>
      </c>
    </row>
    <row r="82" spans="1:9" x14ac:dyDescent="0.3">
      <c r="A82" s="23">
        <v>45719</v>
      </c>
      <c r="B82" s="24" t="s">
        <v>165</v>
      </c>
      <c r="C82" s="24" t="s">
        <v>166</v>
      </c>
      <c r="D82" s="24" t="s">
        <v>71</v>
      </c>
      <c r="E82" s="25">
        <v>2638.45</v>
      </c>
      <c r="F82" s="25">
        <v>1526.62</v>
      </c>
      <c r="G82" s="26">
        <f>T_Ventes[[#This Row],[CA HT]]-T_Ventes[[#This Row],[Coût achat HT]]</f>
        <v>1111.83</v>
      </c>
      <c r="H82" s="27">
        <f>DATE(YEAR(T_Ventes[[#This Row],[Date facture]]),MONTH(T_Ventes[[#This Row],[Date facture]]),1)</f>
        <v>45717</v>
      </c>
      <c r="I82" s="28">
        <f>YEAR(T_Ventes[[#This Row],[Date facture]])</f>
        <v>2025</v>
      </c>
    </row>
    <row r="83" spans="1:9" x14ac:dyDescent="0.3">
      <c r="A83" s="23">
        <v>45720</v>
      </c>
      <c r="B83" s="24" t="s">
        <v>167</v>
      </c>
      <c r="C83" s="24" t="s">
        <v>56</v>
      </c>
      <c r="D83" s="24" t="s">
        <v>57</v>
      </c>
      <c r="E83" s="25">
        <v>4701.18</v>
      </c>
      <c r="F83" s="25">
        <v>3065.6</v>
      </c>
      <c r="G83" s="26">
        <f>T_Ventes[[#This Row],[CA HT]]-T_Ventes[[#This Row],[Coût achat HT]]</f>
        <v>1635.5800000000004</v>
      </c>
      <c r="H83" s="27">
        <f>DATE(YEAR(T_Ventes[[#This Row],[Date facture]]),MONTH(T_Ventes[[#This Row],[Date facture]]),1)</f>
        <v>45717</v>
      </c>
      <c r="I83" s="28">
        <f>YEAR(T_Ventes[[#This Row],[Date facture]])</f>
        <v>2025</v>
      </c>
    </row>
    <row r="84" spans="1:9" x14ac:dyDescent="0.3">
      <c r="A84" s="23">
        <v>45721</v>
      </c>
      <c r="B84" s="24" t="s">
        <v>168</v>
      </c>
      <c r="C84" s="24" t="s">
        <v>80</v>
      </c>
      <c r="D84" s="24" t="s">
        <v>64</v>
      </c>
      <c r="E84" s="25">
        <v>4683.8</v>
      </c>
      <c r="F84" s="25">
        <v>3614.03</v>
      </c>
      <c r="G84" s="26">
        <f>T_Ventes[[#This Row],[CA HT]]-T_Ventes[[#This Row],[Coût achat HT]]</f>
        <v>1069.77</v>
      </c>
      <c r="H84" s="27">
        <f>DATE(YEAR(T_Ventes[[#This Row],[Date facture]]),MONTH(T_Ventes[[#This Row],[Date facture]]),1)</f>
        <v>45717</v>
      </c>
      <c r="I84" s="28">
        <f>YEAR(T_Ventes[[#This Row],[Date facture]])</f>
        <v>2025</v>
      </c>
    </row>
    <row r="85" spans="1:9" x14ac:dyDescent="0.3">
      <c r="A85" s="23">
        <v>45721</v>
      </c>
      <c r="B85" s="24" t="s">
        <v>169</v>
      </c>
      <c r="C85" s="24" t="s">
        <v>108</v>
      </c>
      <c r="D85" s="24" t="s">
        <v>64</v>
      </c>
      <c r="E85" s="25">
        <v>3919.08</v>
      </c>
      <c r="F85" s="25">
        <v>3025.03</v>
      </c>
      <c r="G85" s="26">
        <f>T_Ventes[[#This Row],[CA HT]]-T_Ventes[[#This Row],[Coût achat HT]]</f>
        <v>894.04999999999973</v>
      </c>
      <c r="H85" s="27">
        <f>DATE(YEAR(T_Ventes[[#This Row],[Date facture]]),MONTH(T_Ventes[[#This Row],[Date facture]]),1)</f>
        <v>45717</v>
      </c>
      <c r="I85" s="28">
        <f>YEAR(T_Ventes[[#This Row],[Date facture]])</f>
        <v>2025</v>
      </c>
    </row>
    <row r="86" spans="1:9" x14ac:dyDescent="0.3">
      <c r="A86" s="23">
        <v>45721</v>
      </c>
      <c r="B86" s="24" t="s">
        <v>170</v>
      </c>
      <c r="C86" s="24" t="s">
        <v>76</v>
      </c>
      <c r="D86" s="24" t="s">
        <v>59</v>
      </c>
      <c r="E86" s="25">
        <v>5703.52</v>
      </c>
      <c r="F86" s="25">
        <v>2143.8000000000002</v>
      </c>
      <c r="G86" s="26">
        <f>T_Ventes[[#This Row],[CA HT]]-T_Ventes[[#This Row],[Coût achat HT]]</f>
        <v>3559.7200000000003</v>
      </c>
      <c r="H86" s="27">
        <f>DATE(YEAR(T_Ventes[[#This Row],[Date facture]]),MONTH(T_Ventes[[#This Row],[Date facture]]),1)</f>
        <v>45717</v>
      </c>
      <c r="I86" s="28">
        <f>YEAR(T_Ventes[[#This Row],[Date facture]])</f>
        <v>2025</v>
      </c>
    </row>
    <row r="87" spans="1:9" x14ac:dyDescent="0.3">
      <c r="A87" s="23">
        <v>45722</v>
      </c>
      <c r="B87" s="24" t="s">
        <v>171</v>
      </c>
      <c r="C87" s="24" t="s">
        <v>56</v>
      </c>
      <c r="D87" s="24" t="s">
        <v>64</v>
      </c>
      <c r="E87" s="25">
        <v>4688.66</v>
      </c>
      <c r="F87" s="25">
        <v>3577.7</v>
      </c>
      <c r="G87" s="26">
        <f>T_Ventes[[#This Row],[CA HT]]-T_Ventes[[#This Row],[Coût achat HT]]</f>
        <v>1110.96</v>
      </c>
      <c r="H87" s="27">
        <f>DATE(YEAR(T_Ventes[[#This Row],[Date facture]]),MONTH(T_Ventes[[#This Row],[Date facture]]),1)</f>
        <v>45717</v>
      </c>
      <c r="I87" s="28">
        <f>YEAR(T_Ventes[[#This Row],[Date facture]])</f>
        <v>2025</v>
      </c>
    </row>
    <row r="88" spans="1:9" x14ac:dyDescent="0.3">
      <c r="A88" s="23">
        <v>45722</v>
      </c>
      <c r="B88" s="24" t="s">
        <v>172</v>
      </c>
      <c r="C88" s="24" t="s">
        <v>173</v>
      </c>
      <c r="D88" s="24" t="s">
        <v>57</v>
      </c>
      <c r="E88" s="25">
        <v>2087.1999999999998</v>
      </c>
      <c r="F88" s="25">
        <v>1392.08</v>
      </c>
      <c r="G88" s="26">
        <f>T_Ventes[[#This Row],[CA HT]]-T_Ventes[[#This Row],[Coût achat HT]]</f>
        <v>695.11999999999989</v>
      </c>
      <c r="H88" s="27">
        <f>DATE(YEAR(T_Ventes[[#This Row],[Date facture]]),MONTH(T_Ventes[[#This Row],[Date facture]]),1)</f>
        <v>45717</v>
      </c>
      <c r="I88" s="28">
        <f>YEAR(T_Ventes[[#This Row],[Date facture]])</f>
        <v>2025</v>
      </c>
    </row>
    <row r="89" spans="1:9" x14ac:dyDescent="0.3">
      <c r="A89" s="23">
        <v>45722</v>
      </c>
      <c r="B89" s="24" t="s">
        <v>174</v>
      </c>
      <c r="C89" s="24" t="s">
        <v>175</v>
      </c>
      <c r="D89" s="24" t="s">
        <v>57</v>
      </c>
      <c r="E89" s="25">
        <v>5820.15</v>
      </c>
      <c r="F89" s="25">
        <v>3934.4</v>
      </c>
      <c r="G89" s="26">
        <f>T_Ventes[[#This Row],[CA HT]]-T_Ventes[[#This Row],[Coût achat HT]]</f>
        <v>1885.7499999999995</v>
      </c>
      <c r="H89" s="27">
        <f>DATE(YEAR(T_Ventes[[#This Row],[Date facture]]),MONTH(T_Ventes[[#This Row],[Date facture]]),1)</f>
        <v>45717</v>
      </c>
      <c r="I89" s="28">
        <f>YEAR(T_Ventes[[#This Row],[Date facture]])</f>
        <v>2025</v>
      </c>
    </row>
    <row r="90" spans="1:9" x14ac:dyDescent="0.3">
      <c r="A90" s="23">
        <v>45723</v>
      </c>
      <c r="B90" s="24" t="s">
        <v>176</v>
      </c>
      <c r="C90" s="24" t="s">
        <v>177</v>
      </c>
      <c r="D90" s="24" t="s">
        <v>57</v>
      </c>
      <c r="E90" s="25">
        <v>3914.92</v>
      </c>
      <c r="F90" s="25">
        <v>2566.5700000000002</v>
      </c>
      <c r="G90" s="26">
        <f>T_Ventes[[#This Row],[CA HT]]-T_Ventes[[#This Row],[Coût achat HT]]</f>
        <v>1348.35</v>
      </c>
      <c r="H90" s="27">
        <f>DATE(YEAR(T_Ventes[[#This Row],[Date facture]]),MONTH(T_Ventes[[#This Row],[Date facture]]),1)</f>
        <v>45717</v>
      </c>
      <c r="I90" s="28">
        <f>YEAR(T_Ventes[[#This Row],[Date facture]])</f>
        <v>2025</v>
      </c>
    </row>
    <row r="91" spans="1:9" x14ac:dyDescent="0.3">
      <c r="A91" s="23">
        <v>45725</v>
      </c>
      <c r="B91" s="24" t="s">
        <v>178</v>
      </c>
      <c r="C91" s="24" t="s">
        <v>61</v>
      </c>
      <c r="D91" s="24" t="s">
        <v>71</v>
      </c>
      <c r="E91" s="25">
        <v>2245.62</v>
      </c>
      <c r="F91" s="25">
        <v>1350.14</v>
      </c>
      <c r="G91" s="26">
        <f>T_Ventes[[#This Row],[CA HT]]-T_Ventes[[#This Row],[Coût achat HT]]</f>
        <v>895.47999999999979</v>
      </c>
      <c r="H91" s="27">
        <f>DATE(YEAR(T_Ventes[[#This Row],[Date facture]]),MONTH(T_Ventes[[#This Row],[Date facture]]),1)</f>
        <v>45717</v>
      </c>
      <c r="I91" s="28">
        <f>YEAR(T_Ventes[[#This Row],[Date facture]])</f>
        <v>2025</v>
      </c>
    </row>
    <row r="92" spans="1:9" x14ac:dyDescent="0.3">
      <c r="A92" s="23">
        <v>45726</v>
      </c>
      <c r="B92" s="24" t="s">
        <v>179</v>
      </c>
      <c r="C92" s="24" t="s">
        <v>80</v>
      </c>
      <c r="D92" s="24" t="s">
        <v>64</v>
      </c>
      <c r="E92" s="25">
        <v>2772.49</v>
      </c>
      <c r="F92" s="25">
        <v>2098.5700000000002</v>
      </c>
      <c r="G92" s="26">
        <f>T_Ventes[[#This Row],[CA HT]]-T_Ventes[[#This Row],[Coût achat HT]]</f>
        <v>673.91999999999962</v>
      </c>
      <c r="H92" s="27">
        <f>DATE(YEAR(T_Ventes[[#This Row],[Date facture]]),MONTH(T_Ventes[[#This Row],[Date facture]]),1)</f>
        <v>45717</v>
      </c>
      <c r="I92" s="28">
        <f>YEAR(T_Ventes[[#This Row],[Date facture]])</f>
        <v>2025</v>
      </c>
    </row>
    <row r="93" spans="1:9" x14ac:dyDescent="0.3">
      <c r="A93" s="23">
        <v>45726</v>
      </c>
      <c r="B93" s="24" t="s">
        <v>180</v>
      </c>
      <c r="C93" s="24" t="s">
        <v>73</v>
      </c>
      <c r="D93" s="24" t="s">
        <v>57</v>
      </c>
      <c r="E93" s="25">
        <v>5247.56</v>
      </c>
      <c r="F93" s="25">
        <v>3379.04</v>
      </c>
      <c r="G93" s="26">
        <f>T_Ventes[[#This Row],[CA HT]]-T_Ventes[[#This Row],[Coût achat HT]]</f>
        <v>1868.5200000000004</v>
      </c>
      <c r="H93" s="27">
        <f>DATE(YEAR(T_Ventes[[#This Row],[Date facture]]),MONTH(T_Ventes[[#This Row],[Date facture]]),1)</f>
        <v>45717</v>
      </c>
      <c r="I93" s="28">
        <f>YEAR(T_Ventes[[#This Row],[Date facture]])</f>
        <v>2025</v>
      </c>
    </row>
    <row r="94" spans="1:9" x14ac:dyDescent="0.3">
      <c r="A94" s="23">
        <v>45726</v>
      </c>
      <c r="B94" s="24" t="s">
        <v>181</v>
      </c>
      <c r="C94" s="24" t="s">
        <v>96</v>
      </c>
      <c r="D94" s="24" t="s">
        <v>71</v>
      </c>
      <c r="E94" s="25">
        <v>5346.78</v>
      </c>
      <c r="F94" s="25">
        <v>3187.97</v>
      </c>
      <c r="G94" s="26">
        <f>T_Ventes[[#This Row],[CA HT]]-T_Ventes[[#This Row],[Coût achat HT]]</f>
        <v>2158.81</v>
      </c>
      <c r="H94" s="27">
        <f>DATE(YEAR(T_Ventes[[#This Row],[Date facture]]),MONTH(T_Ventes[[#This Row],[Date facture]]),1)</f>
        <v>45717</v>
      </c>
      <c r="I94" s="28">
        <f>YEAR(T_Ventes[[#This Row],[Date facture]])</f>
        <v>2025</v>
      </c>
    </row>
    <row r="95" spans="1:9" x14ac:dyDescent="0.3">
      <c r="A95" s="23">
        <v>45727</v>
      </c>
      <c r="B95" s="24" t="s">
        <v>182</v>
      </c>
      <c r="C95" s="24" t="s">
        <v>56</v>
      </c>
      <c r="D95" s="24" t="s">
        <v>64</v>
      </c>
      <c r="E95" s="25">
        <v>4801.8599999999997</v>
      </c>
      <c r="F95" s="25">
        <v>3634.8</v>
      </c>
      <c r="G95" s="26">
        <f>T_Ventes[[#This Row],[CA HT]]-T_Ventes[[#This Row],[Coût achat HT]]</f>
        <v>1167.0599999999995</v>
      </c>
      <c r="H95" s="27">
        <f>DATE(YEAR(T_Ventes[[#This Row],[Date facture]]),MONTH(T_Ventes[[#This Row],[Date facture]]),1)</f>
        <v>45717</v>
      </c>
      <c r="I95" s="28">
        <f>YEAR(T_Ventes[[#This Row],[Date facture]])</f>
        <v>2025</v>
      </c>
    </row>
    <row r="96" spans="1:9" x14ac:dyDescent="0.3">
      <c r="A96" s="23">
        <v>45727</v>
      </c>
      <c r="B96" s="24" t="s">
        <v>183</v>
      </c>
      <c r="C96" s="24" t="s">
        <v>87</v>
      </c>
      <c r="D96" s="24" t="s">
        <v>64</v>
      </c>
      <c r="E96" s="25">
        <v>4910.8100000000004</v>
      </c>
      <c r="F96" s="25">
        <v>3746.98</v>
      </c>
      <c r="G96" s="26">
        <f>T_Ventes[[#This Row],[CA HT]]-T_Ventes[[#This Row],[Coût achat HT]]</f>
        <v>1163.8300000000004</v>
      </c>
      <c r="H96" s="27">
        <f>DATE(YEAR(T_Ventes[[#This Row],[Date facture]]),MONTH(T_Ventes[[#This Row],[Date facture]]),1)</f>
        <v>45717</v>
      </c>
      <c r="I96" s="28">
        <f>YEAR(T_Ventes[[#This Row],[Date facture]])</f>
        <v>2025</v>
      </c>
    </row>
    <row r="97" spans="1:9" x14ac:dyDescent="0.3">
      <c r="A97" s="23">
        <v>45727</v>
      </c>
      <c r="B97" s="24" t="s">
        <v>184</v>
      </c>
      <c r="C97" s="24" t="s">
        <v>63</v>
      </c>
      <c r="D97" s="24" t="s">
        <v>57</v>
      </c>
      <c r="E97" s="25">
        <v>5998.63</v>
      </c>
      <c r="F97" s="25">
        <v>3997.76</v>
      </c>
      <c r="G97" s="26">
        <f>T_Ventes[[#This Row],[CA HT]]-T_Ventes[[#This Row],[Coût achat HT]]</f>
        <v>2000.87</v>
      </c>
      <c r="H97" s="27">
        <f>DATE(YEAR(T_Ventes[[#This Row],[Date facture]]),MONTH(T_Ventes[[#This Row],[Date facture]]),1)</f>
        <v>45717</v>
      </c>
      <c r="I97" s="28">
        <f>YEAR(T_Ventes[[#This Row],[Date facture]])</f>
        <v>2025</v>
      </c>
    </row>
    <row r="98" spans="1:9" x14ac:dyDescent="0.3">
      <c r="A98" s="23">
        <v>45727</v>
      </c>
      <c r="B98" s="24" t="s">
        <v>185</v>
      </c>
      <c r="C98" s="24" t="s">
        <v>63</v>
      </c>
      <c r="D98" s="24" t="s">
        <v>57</v>
      </c>
      <c r="E98" s="25">
        <v>3585.71</v>
      </c>
      <c r="F98" s="25">
        <v>2407.54</v>
      </c>
      <c r="G98" s="26">
        <f>T_Ventes[[#This Row],[CA HT]]-T_Ventes[[#This Row],[Coût achat HT]]</f>
        <v>1178.17</v>
      </c>
      <c r="H98" s="27">
        <f>DATE(YEAR(T_Ventes[[#This Row],[Date facture]]),MONTH(T_Ventes[[#This Row],[Date facture]]),1)</f>
        <v>45717</v>
      </c>
      <c r="I98" s="28">
        <f>YEAR(T_Ventes[[#This Row],[Date facture]])</f>
        <v>2025</v>
      </c>
    </row>
    <row r="99" spans="1:9" x14ac:dyDescent="0.3">
      <c r="A99" s="23">
        <v>45727</v>
      </c>
      <c r="B99" s="24" t="s">
        <v>186</v>
      </c>
      <c r="C99" s="24" t="s">
        <v>108</v>
      </c>
      <c r="D99" s="24" t="s">
        <v>71</v>
      </c>
      <c r="E99" s="25">
        <v>4532.71</v>
      </c>
      <c r="F99" s="25">
        <v>2604.8000000000002</v>
      </c>
      <c r="G99" s="26">
        <f>T_Ventes[[#This Row],[CA HT]]-T_Ventes[[#This Row],[Coût achat HT]]</f>
        <v>1927.9099999999999</v>
      </c>
      <c r="H99" s="27">
        <f>DATE(YEAR(T_Ventes[[#This Row],[Date facture]]),MONTH(T_Ventes[[#This Row],[Date facture]]),1)</f>
        <v>45717</v>
      </c>
      <c r="I99" s="28">
        <f>YEAR(T_Ventes[[#This Row],[Date facture]])</f>
        <v>2025</v>
      </c>
    </row>
    <row r="100" spans="1:9" x14ac:dyDescent="0.3">
      <c r="A100" s="23">
        <v>45727</v>
      </c>
      <c r="B100" s="24" t="s">
        <v>187</v>
      </c>
      <c r="C100" s="24" t="s">
        <v>76</v>
      </c>
      <c r="D100" s="24" t="s">
        <v>71</v>
      </c>
      <c r="E100" s="25">
        <v>5135.13</v>
      </c>
      <c r="F100" s="25">
        <v>3016.76</v>
      </c>
      <c r="G100" s="26">
        <f>T_Ventes[[#This Row],[CA HT]]-T_Ventes[[#This Row],[Coût achat HT]]</f>
        <v>2118.37</v>
      </c>
      <c r="H100" s="27">
        <f>DATE(YEAR(T_Ventes[[#This Row],[Date facture]]),MONTH(T_Ventes[[#This Row],[Date facture]]),1)</f>
        <v>45717</v>
      </c>
      <c r="I100" s="28">
        <f>YEAR(T_Ventes[[#This Row],[Date facture]])</f>
        <v>2025</v>
      </c>
    </row>
    <row r="101" spans="1:9" x14ac:dyDescent="0.3">
      <c r="A101" s="23">
        <v>45727</v>
      </c>
      <c r="B101" s="24" t="s">
        <v>188</v>
      </c>
      <c r="C101" s="24" t="s">
        <v>103</v>
      </c>
      <c r="D101" s="24" t="s">
        <v>71</v>
      </c>
      <c r="E101" s="25">
        <v>2070.0100000000002</v>
      </c>
      <c r="F101" s="25">
        <v>1202.31</v>
      </c>
      <c r="G101" s="26">
        <f>T_Ventes[[#This Row],[CA HT]]-T_Ventes[[#This Row],[Coût achat HT]]</f>
        <v>867.70000000000027</v>
      </c>
      <c r="H101" s="27">
        <f>DATE(YEAR(T_Ventes[[#This Row],[Date facture]]),MONTH(T_Ventes[[#This Row],[Date facture]]),1)</f>
        <v>45717</v>
      </c>
      <c r="I101" s="28">
        <f>YEAR(T_Ventes[[#This Row],[Date facture]])</f>
        <v>2025</v>
      </c>
    </row>
    <row r="102" spans="1:9" x14ac:dyDescent="0.3">
      <c r="A102" s="23">
        <v>45728</v>
      </c>
      <c r="B102" s="24" t="s">
        <v>189</v>
      </c>
      <c r="C102" s="24" t="s">
        <v>166</v>
      </c>
      <c r="D102" s="24" t="s">
        <v>64</v>
      </c>
      <c r="E102" s="25">
        <v>2647.9</v>
      </c>
      <c r="F102" s="25">
        <v>1991.11</v>
      </c>
      <c r="G102" s="26">
        <f>T_Ventes[[#This Row],[CA HT]]-T_Ventes[[#This Row],[Coût achat HT]]</f>
        <v>656.79000000000019</v>
      </c>
      <c r="H102" s="27">
        <f>DATE(YEAR(T_Ventes[[#This Row],[Date facture]]),MONTH(T_Ventes[[#This Row],[Date facture]]),1)</f>
        <v>45717</v>
      </c>
      <c r="I102" s="28">
        <f>YEAR(T_Ventes[[#This Row],[Date facture]])</f>
        <v>2025</v>
      </c>
    </row>
    <row r="103" spans="1:9" x14ac:dyDescent="0.3">
      <c r="A103" s="23">
        <v>45728</v>
      </c>
      <c r="B103" s="24" t="s">
        <v>190</v>
      </c>
      <c r="C103" s="24" t="s">
        <v>61</v>
      </c>
      <c r="D103" s="24" t="s">
        <v>59</v>
      </c>
      <c r="E103" s="25">
        <v>3417.82</v>
      </c>
      <c r="F103" s="25">
        <v>1330.54</v>
      </c>
      <c r="G103" s="26">
        <f>T_Ventes[[#This Row],[CA HT]]-T_Ventes[[#This Row],[Coût achat HT]]</f>
        <v>2087.2800000000002</v>
      </c>
      <c r="H103" s="27">
        <f>DATE(YEAR(T_Ventes[[#This Row],[Date facture]]),MONTH(T_Ventes[[#This Row],[Date facture]]),1)</f>
        <v>45717</v>
      </c>
      <c r="I103" s="28">
        <f>YEAR(T_Ventes[[#This Row],[Date facture]])</f>
        <v>2025</v>
      </c>
    </row>
    <row r="104" spans="1:9" x14ac:dyDescent="0.3">
      <c r="A104" s="23">
        <v>45730</v>
      </c>
      <c r="B104" s="24" t="s">
        <v>191</v>
      </c>
      <c r="C104" s="24" t="s">
        <v>73</v>
      </c>
      <c r="D104" s="24" t="s">
        <v>57</v>
      </c>
      <c r="E104" s="25">
        <v>5782.12</v>
      </c>
      <c r="F104" s="25">
        <v>3762.65</v>
      </c>
      <c r="G104" s="26">
        <f>T_Ventes[[#This Row],[CA HT]]-T_Ventes[[#This Row],[Coût achat HT]]</f>
        <v>2019.4699999999998</v>
      </c>
      <c r="H104" s="27">
        <f>DATE(YEAR(T_Ventes[[#This Row],[Date facture]]),MONTH(T_Ventes[[#This Row],[Date facture]]),1)</f>
        <v>45717</v>
      </c>
      <c r="I104" s="28">
        <f>YEAR(T_Ventes[[#This Row],[Date facture]])</f>
        <v>2025</v>
      </c>
    </row>
    <row r="105" spans="1:9" x14ac:dyDescent="0.3">
      <c r="A105" s="23">
        <v>45731</v>
      </c>
      <c r="B105" s="24" t="s">
        <v>192</v>
      </c>
      <c r="C105" s="24" t="s">
        <v>96</v>
      </c>
      <c r="D105" s="24" t="s">
        <v>64</v>
      </c>
      <c r="E105" s="25">
        <v>3508.77</v>
      </c>
      <c r="F105" s="25">
        <v>2662.56</v>
      </c>
      <c r="G105" s="26">
        <f>T_Ventes[[#This Row],[CA HT]]-T_Ventes[[#This Row],[Coût achat HT]]</f>
        <v>846.21</v>
      </c>
      <c r="H105" s="27">
        <f>DATE(YEAR(T_Ventes[[#This Row],[Date facture]]),MONTH(T_Ventes[[#This Row],[Date facture]]),1)</f>
        <v>45717</v>
      </c>
      <c r="I105" s="28">
        <f>YEAR(T_Ventes[[#This Row],[Date facture]])</f>
        <v>2025</v>
      </c>
    </row>
    <row r="106" spans="1:9" x14ac:dyDescent="0.3">
      <c r="A106" s="23">
        <v>45732</v>
      </c>
      <c r="B106" s="24" t="s">
        <v>193</v>
      </c>
      <c r="C106" s="24" t="s">
        <v>56</v>
      </c>
      <c r="D106" s="24" t="s">
        <v>64</v>
      </c>
      <c r="E106" s="25">
        <v>3496.59</v>
      </c>
      <c r="F106" s="25">
        <v>2680.75</v>
      </c>
      <c r="G106" s="26">
        <f>T_Ventes[[#This Row],[CA HT]]-T_Ventes[[#This Row],[Coût achat HT]]</f>
        <v>815.84000000000015</v>
      </c>
      <c r="H106" s="27">
        <f>DATE(YEAR(T_Ventes[[#This Row],[Date facture]]),MONTH(T_Ventes[[#This Row],[Date facture]]),1)</f>
        <v>45717</v>
      </c>
      <c r="I106" s="28">
        <f>YEAR(T_Ventes[[#This Row],[Date facture]])</f>
        <v>2025</v>
      </c>
    </row>
    <row r="107" spans="1:9" x14ac:dyDescent="0.3">
      <c r="A107" s="23">
        <v>45732</v>
      </c>
      <c r="B107" s="24" t="s">
        <v>194</v>
      </c>
      <c r="C107" s="24" t="s">
        <v>173</v>
      </c>
      <c r="D107" s="24" t="s">
        <v>64</v>
      </c>
      <c r="E107" s="25">
        <v>3686.33</v>
      </c>
      <c r="F107" s="25">
        <v>2786.27</v>
      </c>
      <c r="G107" s="26">
        <f>T_Ventes[[#This Row],[CA HT]]-T_Ventes[[#This Row],[Coût achat HT]]</f>
        <v>900.06</v>
      </c>
      <c r="H107" s="27">
        <f>DATE(YEAR(T_Ventes[[#This Row],[Date facture]]),MONTH(T_Ventes[[#This Row],[Date facture]]),1)</f>
        <v>45717</v>
      </c>
      <c r="I107" s="28">
        <f>YEAR(T_Ventes[[#This Row],[Date facture]])</f>
        <v>2025</v>
      </c>
    </row>
    <row r="108" spans="1:9" x14ac:dyDescent="0.3">
      <c r="A108" s="23">
        <v>45732</v>
      </c>
      <c r="B108" s="24" t="s">
        <v>195</v>
      </c>
      <c r="C108" s="24" t="s">
        <v>56</v>
      </c>
      <c r="D108" s="24" t="s">
        <v>71</v>
      </c>
      <c r="E108" s="25">
        <v>1280.54</v>
      </c>
      <c r="F108" s="25">
        <v>754.52</v>
      </c>
      <c r="G108" s="26">
        <f>T_Ventes[[#This Row],[CA HT]]-T_Ventes[[#This Row],[Coût achat HT]]</f>
        <v>526.02</v>
      </c>
      <c r="H108" s="27">
        <f>DATE(YEAR(T_Ventes[[#This Row],[Date facture]]),MONTH(T_Ventes[[#This Row],[Date facture]]),1)</f>
        <v>45717</v>
      </c>
      <c r="I108" s="28">
        <f>YEAR(T_Ventes[[#This Row],[Date facture]])</f>
        <v>2025</v>
      </c>
    </row>
    <row r="109" spans="1:9" x14ac:dyDescent="0.3">
      <c r="A109" s="23">
        <v>45733</v>
      </c>
      <c r="B109" s="24" t="s">
        <v>196</v>
      </c>
      <c r="C109" s="24" t="s">
        <v>87</v>
      </c>
      <c r="D109" s="24" t="s">
        <v>64</v>
      </c>
      <c r="E109" s="25">
        <v>5351.11</v>
      </c>
      <c r="F109" s="25">
        <v>4011.98</v>
      </c>
      <c r="G109" s="26">
        <f>T_Ventes[[#This Row],[CA HT]]-T_Ventes[[#This Row],[Coût achat HT]]</f>
        <v>1339.1299999999997</v>
      </c>
      <c r="H109" s="27">
        <f>DATE(YEAR(T_Ventes[[#This Row],[Date facture]]),MONTH(T_Ventes[[#This Row],[Date facture]]),1)</f>
        <v>45717</v>
      </c>
      <c r="I109" s="28">
        <f>YEAR(T_Ventes[[#This Row],[Date facture]])</f>
        <v>2025</v>
      </c>
    </row>
    <row r="110" spans="1:9" x14ac:dyDescent="0.3">
      <c r="A110" s="23">
        <v>45734</v>
      </c>
      <c r="B110" s="24" t="s">
        <v>197</v>
      </c>
      <c r="C110" s="24" t="s">
        <v>66</v>
      </c>
      <c r="D110" s="24" t="s">
        <v>64</v>
      </c>
      <c r="E110" s="25">
        <v>6960.86</v>
      </c>
      <c r="F110" s="25">
        <v>5331.19</v>
      </c>
      <c r="G110" s="26">
        <f>T_Ventes[[#This Row],[CA HT]]-T_Ventes[[#This Row],[Coût achat HT]]</f>
        <v>1629.67</v>
      </c>
      <c r="H110" s="27">
        <f>DATE(YEAR(T_Ventes[[#This Row],[Date facture]]),MONTH(T_Ventes[[#This Row],[Date facture]]),1)</f>
        <v>45717</v>
      </c>
      <c r="I110" s="28">
        <f>YEAR(T_Ventes[[#This Row],[Date facture]])</f>
        <v>2025</v>
      </c>
    </row>
    <row r="111" spans="1:9" x14ac:dyDescent="0.3">
      <c r="A111" s="23">
        <v>45734</v>
      </c>
      <c r="B111" s="24" t="s">
        <v>198</v>
      </c>
      <c r="C111" s="24" t="s">
        <v>108</v>
      </c>
      <c r="D111" s="24" t="s">
        <v>64</v>
      </c>
      <c r="E111" s="25">
        <v>3423.65</v>
      </c>
      <c r="F111" s="25">
        <v>2621.38</v>
      </c>
      <c r="G111" s="26">
        <f>T_Ventes[[#This Row],[CA HT]]-T_Ventes[[#This Row],[Coût achat HT]]</f>
        <v>802.27</v>
      </c>
      <c r="H111" s="27">
        <f>DATE(YEAR(T_Ventes[[#This Row],[Date facture]]),MONTH(T_Ventes[[#This Row],[Date facture]]),1)</f>
        <v>45717</v>
      </c>
      <c r="I111" s="28">
        <f>YEAR(T_Ventes[[#This Row],[Date facture]])</f>
        <v>2025</v>
      </c>
    </row>
    <row r="112" spans="1:9" x14ac:dyDescent="0.3">
      <c r="A112" s="23">
        <v>45735</v>
      </c>
      <c r="B112" s="24" t="s">
        <v>199</v>
      </c>
      <c r="C112" s="24" t="s">
        <v>73</v>
      </c>
      <c r="D112" s="24" t="s">
        <v>71</v>
      </c>
      <c r="E112" s="25">
        <v>3600.82</v>
      </c>
      <c r="F112" s="25">
        <v>2188.11</v>
      </c>
      <c r="G112" s="26">
        <f>T_Ventes[[#This Row],[CA HT]]-T_Ventes[[#This Row],[Coût achat HT]]</f>
        <v>1412.71</v>
      </c>
      <c r="H112" s="27">
        <f>DATE(YEAR(T_Ventes[[#This Row],[Date facture]]),MONTH(T_Ventes[[#This Row],[Date facture]]),1)</f>
        <v>45717</v>
      </c>
      <c r="I112" s="28">
        <f>YEAR(T_Ventes[[#This Row],[Date facture]])</f>
        <v>2025</v>
      </c>
    </row>
    <row r="113" spans="1:9" x14ac:dyDescent="0.3">
      <c r="A113" s="23">
        <v>45737</v>
      </c>
      <c r="B113" s="24" t="s">
        <v>200</v>
      </c>
      <c r="C113" s="24" t="s">
        <v>87</v>
      </c>
      <c r="D113" s="24" t="s">
        <v>64</v>
      </c>
      <c r="E113" s="25">
        <v>1972.82</v>
      </c>
      <c r="F113" s="25">
        <v>1484.01</v>
      </c>
      <c r="G113" s="26">
        <f>T_Ventes[[#This Row],[CA HT]]-T_Ventes[[#This Row],[Coût achat HT]]</f>
        <v>488.80999999999995</v>
      </c>
      <c r="H113" s="27">
        <f>DATE(YEAR(T_Ventes[[#This Row],[Date facture]]),MONTH(T_Ventes[[#This Row],[Date facture]]),1)</f>
        <v>45717</v>
      </c>
      <c r="I113" s="28">
        <f>YEAR(T_Ventes[[#This Row],[Date facture]])</f>
        <v>2025</v>
      </c>
    </row>
    <row r="114" spans="1:9" x14ac:dyDescent="0.3">
      <c r="A114" s="23">
        <v>45737</v>
      </c>
      <c r="B114" s="24" t="s">
        <v>201</v>
      </c>
      <c r="C114" s="24" t="s">
        <v>162</v>
      </c>
      <c r="D114" s="24" t="s">
        <v>57</v>
      </c>
      <c r="E114" s="25">
        <v>1691.09</v>
      </c>
      <c r="F114" s="25">
        <v>1089.3699999999999</v>
      </c>
      <c r="G114" s="26">
        <f>T_Ventes[[#This Row],[CA HT]]-T_Ventes[[#This Row],[Coût achat HT]]</f>
        <v>601.72</v>
      </c>
      <c r="H114" s="27">
        <f>DATE(YEAR(T_Ventes[[#This Row],[Date facture]]),MONTH(T_Ventes[[#This Row],[Date facture]]),1)</f>
        <v>45717</v>
      </c>
      <c r="I114" s="28">
        <f>YEAR(T_Ventes[[#This Row],[Date facture]])</f>
        <v>2025</v>
      </c>
    </row>
    <row r="115" spans="1:9" x14ac:dyDescent="0.3">
      <c r="A115" s="23">
        <v>45738</v>
      </c>
      <c r="B115" s="24" t="s">
        <v>202</v>
      </c>
      <c r="C115" s="24" t="s">
        <v>175</v>
      </c>
      <c r="D115" s="24" t="s">
        <v>64</v>
      </c>
      <c r="E115" s="25">
        <v>3274.7</v>
      </c>
      <c r="F115" s="25">
        <v>2485.52</v>
      </c>
      <c r="G115" s="26">
        <f>T_Ventes[[#This Row],[CA HT]]-T_Ventes[[#This Row],[Coût achat HT]]</f>
        <v>789.17999999999984</v>
      </c>
      <c r="H115" s="27">
        <f>DATE(YEAR(T_Ventes[[#This Row],[Date facture]]),MONTH(T_Ventes[[#This Row],[Date facture]]),1)</f>
        <v>45717</v>
      </c>
      <c r="I115" s="28">
        <f>YEAR(T_Ventes[[#This Row],[Date facture]])</f>
        <v>2025</v>
      </c>
    </row>
    <row r="116" spans="1:9" x14ac:dyDescent="0.3">
      <c r="A116" s="23">
        <v>45739</v>
      </c>
      <c r="B116" s="24" t="s">
        <v>203</v>
      </c>
      <c r="C116" s="24" t="s">
        <v>66</v>
      </c>
      <c r="D116" s="24" t="s">
        <v>64</v>
      </c>
      <c r="E116" s="25">
        <v>2052.41</v>
      </c>
      <c r="F116" s="25">
        <v>1582.61</v>
      </c>
      <c r="G116" s="26">
        <f>T_Ventes[[#This Row],[CA HT]]-T_Ventes[[#This Row],[Coût achat HT]]</f>
        <v>469.79999999999995</v>
      </c>
      <c r="H116" s="27">
        <f>DATE(YEAR(T_Ventes[[#This Row],[Date facture]]),MONTH(T_Ventes[[#This Row],[Date facture]]),1)</f>
        <v>45717</v>
      </c>
      <c r="I116" s="28">
        <f>YEAR(T_Ventes[[#This Row],[Date facture]])</f>
        <v>2025</v>
      </c>
    </row>
    <row r="117" spans="1:9" x14ac:dyDescent="0.3">
      <c r="A117" s="23">
        <v>45740</v>
      </c>
      <c r="B117" s="24" t="s">
        <v>204</v>
      </c>
      <c r="C117" s="24" t="s">
        <v>128</v>
      </c>
      <c r="D117" s="24" t="s">
        <v>57</v>
      </c>
      <c r="E117" s="25">
        <v>1092.5899999999999</v>
      </c>
      <c r="F117" s="25">
        <v>710.44</v>
      </c>
      <c r="G117" s="26">
        <f>T_Ventes[[#This Row],[CA HT]]-T_Ventes[[#This Row],[Coût achat HT]]</f>
        <v>382.14999999999986</v>
      </c>
      <c r="H117" s="27">
        <f>DATE(YEAR(T_Ventes[[#This Row],[Date facture]]),MONTH(T_Ventes[[#This Row],[Date facture]]),1)</f>
        <v>45717</v>
      </c>
      <c r="I117" s="28">
        <f>YEAR(T_Ventes[[#This Row],[Date facture]])</f>
        <v>2025</v>
      </c>
    </row>
    <row r="118" spans="1:9" x14ac:dyDescent="0.3">
      <c r="A118" s="23">
        <v>45740</v>
      </c>
      <c r="B118" s="24" t="s">
        <v>205</v>
      </c>
      <c r="C118" s="24" t="s">
        <v>56</v>
      </c>
      <c r="D118" s="24" t="s">
        <v>71</v>
      </c>
      <c r="E118" s="25">
        <v>6861.41</v>
      </c>
      <c r="F118" s="25">
        <v>4115.0200000000004</v>
      </c>
      <c r="G118" s="26">
        <f>T_Ventes[[#This Row],[CA HT]]-T_Ventes[[#This Row],[Coût achat HT]]</f>
        <v>2746.3899999999994</v>
      </c>
      <c r="H118" s="27">
        <f>DATE(YEAR(T_Ventes[[#This Row],[Date facture]]),MONTH(T_Ventes[[#This Row],[Date facture]]),1)</f>
        <v>45717</v>
      </c>
      <c r="I118" s="28">
        <f>YEAR(T_Ventes[[#This Row],[Date facture]])</f>
        <v>2025</v>
      </c>
    </row>
    <row r="119" spans="1:9" x14ac:dyDescent="0.3">
      <c r="A119" s="23">
        <v>45740</v>
      </c>
      <c r="B119" s="24" t="s">
        <v>206</v>
      </c>
      <c r="C119" s="24" t="s">
        <v>56</v>
      </c>
      <c r="D119" s="24" t="s">
        <v>59</v>
      </c>
      <c r="E119" s="25">
        <v>2381.2600000000002</v>
      </c>
      <c r="F119" s="25">
        <v>939.19</v>
      </c>
      <c r="G119" s="26">
        <f>T_Ventes[[#This Row],[CA HT]]-T_Ventes[[#This Row],[Coût achat HT]]</f>
        <v>1442.0700000000002</v>
      </c>
      <c r="H119" s="27">
        <f>DATE(YEAR(T_Ventes[[#This Row],[Date facture]]),MONTH(T_Ventes[[#This Row],[Date facture]]),1)</f>
        <v>45717</v>
      </c>
      <c r="I119" s="28">
        <f>YEAR(T_Ventes[[#This Row],[Date facture]])</f>
        <v>2025</v>
      </c>
    </row>
    <row r="120" spans="1:9" x14ac:dyDescent="0.3">
      <c r="A120" s="23">
        <v>45741</v>
      </c>
      <c r="B120" s="24" t="s">
        <v>207</v>
      </c>
      <c r="C120" s="24" t="s">
        <v>208</v>
      </c>
      <c r="D120" s="24" t="s">
        <v>64</v>
      </c>
      <c r="E120" s="25">
        <v>2008.71</v>
      </c>
      <c r="F120" s="25">
        <v>1548.01</v>
      </c>
      <c r="G120" s="26">
        <f>T_Ventes[[#This Row],[CA HT]]-T_Ventes[[#This Row],[Coût achat HT]]</f>
        <v>460.70000000000005</v>
      </c>
      <c r="H120" s="27">
        <f>DATE(YEAR(T_Ventes[[#This Row],[Date facture]]),MONTH(T_Ventes[[#This Row],[Date facture]]),1)</f>
        <v>45717</v>
      </c>
      <c r="I120" s="28">
        <f>YEAR(T_Ventes[[#This Row],[Date facture]])</f>
        <v>2025</v>
      </c>
    </row>
    <row r="121" spans="1:9" x14ac:dyDescent="0.3">
      <c r="A121" s="23">
        <v>45741</v>
      </c>
      <c r="B121" s="24" t="s">
        <v>209</v>
      </c>
      <c r="C121" s="24" t="s">
        <v>177</v>
      </c>
      <c r="D121" s="24" t="s">
        <v>57</v>
      </c>
      <c r="E121" s="25">
        <v>2905.12</v>
      </c>
      <c r="F121" s="25">
        <v>1868.31</v>
      </c>
      <c r="G121" s="26">
        <f>T_Ventes[[#This Row],[CA HT]]-T_Ventes[[#This Row],[Coût achat HT]]</f>
        <v>1036.81</v>
      </c>
      <c r="H121" s="27">
        <f>DATE(YEAR(T_Ventes[[#This Row],[Date facture]]),MONTH(T_Ventes[[#This Row],[Date facture]]),1)</f>
        <v>45717</v>
      </c>
      <c r="I121" s="28">
        <f>YEAR(T_Ventes[[#This Row],[Date facture]])</f>
        <v>2025</v>
      </c>
    </row>
    <row r="122" spans="1:9" x14ac:dyDescent="0.3">
      <c r="A122" s="23">
        <v>45742</v>
      </c>
      <c r="B122" s="24" t="s">
        <v>210</v>
      </c>
      <c r="C122" s="24" t="s">
        <v>80</v>
      </c>
      <c r="D122" s="24" t="s">
        <v>64</v>
      </c>
      <c r="E122" s="25">
        <v>1443.94</v>
      </c>
      <c r="F122" s="25">
        <v>1085.99</v>
      </c>
      <c r="G122" s="26">
        <f>T_Ventes[[#This Row],[CA HT]]-T_Ventes[[#This Row],[Coût achat HT]]</f>
        <v>357.95000000000005</v>
      </c>
      <c r="H122" s="27">
        <f>DATE(YEAR(T_Ventes[[#This Row],[Date facture]]),MONTH(T_Ventes[[#This Row],[Date facture]]),1)</f>
        <v>45717</v>
      </c>
      <c r="I122" s="28">
        <f>YEAR(T_Ventes[[#This Row],[Date facture]])</f>
        <v>2025</v>
      </c>
    </row>
    <row r="123" spans="1:9" x14ac:dyDescent="0.3">
      <c r="A123" s="23">
        <v>45743</v>
      </c>
      <c r="B123" s="24" t="s">
        <v>211</v>
      </c>
      <c r="C123" s="24" t="s">
        <v>115</v>
      </c>
      <c r="D123" s="24" t="s">
        <v>64</v>
      </c>
      <c r="E123" s="25">
        <v>5168.58</v>
      </c>
      <c r="F123" s="25">
        <v>3911.62</v>
      </c>
      <c r="G123" s="26">
        <f>T_Ventes[[#This Row],[CA HT]]-T_Ventes[[#This Row],[Coût achat HT]]</f>
        <v>1256.96</v>
      </c>
      <c r="H123" s="27">
        <f>DATE(YEAR(T_Ventes[[#This Row],[Date facture]]),MONTH(T_Ventes[[#This Row],[Date facture]]),1)</f>
        <v>45717</v>
      </c>
      <c r="I123" s="28">
        <f>YEAR(T_Ventes[[#This Row],[Date facture]])</f>
        <v>2025</v>
      </c>
    </row>
    <row r="124" spans="1:9" x14ac:dyDescent="0.3">
      <c r="A124" s="23">
        <v>45743</v>
      </c>
      <c r="B124" s="24" t="s">
        <v>212</v>
      </c>
      <c r="C124" s="24" t="s">
        <v>56</v>
      </c>
      <c r="D124" s="24" t="s">
        <v>64</v>
      </c>
      <c r="E124" s="25">
        <v>2055.4</v>
      </c>
      <c r="F124" s="25">
        <v>1538.52</v>
      </c>
      <c r="G124" s="26">
        <f>T_Ventes[[#This Row],[CA HT]]-T_Ventes[[#This Row],[Coût achat HT]]</f>
        <v>516.88000000000011</v>
      </c>
      <c r="H124" s="27">
        <f>DATE(YEAR(T_Ventes[[#This Row],[Date facture]]),MONTH(T_Ventes[[#This Row],[Date facture]]),1)</f>
        <v>45717</v>
      </c>
      <c r="I124" s="28">
        <f>YEAR(T_Ventes[[#This Row],[Date facture]])</f>
        <v>2025</v>
      </c>
    </row>
    <row r="125" spans="1:9" x14ac:dyDescent="0.3">
      <c r="A125" s="23">
        <v>45743</v>
      </c>
      <c r="B125" s="24" t="s">
        <v>213</v>
      </c>
      <c r="C125" s="24" t="s">
        <v>73</v>
      </c>
      <c r="D125" s="24" t="s">
        <v>71</v>
      </c>
      <c r="E125" s="25">
        <v>3642.42</v>
      </c>
      <c r="F125" s="25">
        <v>2101.94</v>
      </c>
      <c r="G125" s="26">
        <f>T_Ventes[[#This Row],[CA HT]]-T_Ventes[[#This Row],[Coût achat HT]]</f>
        <v>1540.48</v>
      </c>
      <c r="H125" s="27">
        <f>DATE(YEAR(T_Ventes[[#This Row],[Date facture]]),MONTH(T_Ventes[[#This Row],[Date facture]]),1)</f>
        <v>45717</v>
      </c>
      <c r="I125" s="28">
        <f>YEAR(T_Ventes[[#This Row],[Date facture]])</f>
        <v>2025</v>
      </c>
    </row>
    <row r="126" spans="1:9" x14ac:dyDescent="0.3">
      <c r="A126" s="23">
        <v>45743</v>
      </c>
      <c r="B126" s="24" t="s">
        <v>214</v>
      </c>
      <c r="C126" s="24" t="s">
        <v>78</v>
      </c>
      <c r="D126" s="24" t="s">
        <v>59</v>
      </c>
      <c r="E126" s="25">
        <v>2135.14</v>
      </c>
      <c r="F126" s="25">
        <v>827.02</v>
      </c>
      <c r="G126" s="26">
        <f>T_Ventes[[#This Row],[CA HT]]-T_Ventes[[#This Row],[Coût achat HT]]</f>
        <v>1308.1199999999999</v>
      </c>
      <c r="H126" s="27">
        <f>DATE(YEAR(T_Ventes[[#This Row],[Date facture]]),MONTH(T_Ventes[[#This Row],[Date facture]]),1)</f>
        <v>45717</v>
      </c>
      <c r="I126" s="28">
        <f>YEAR(T_Ventes[[#This Row],[Date facture]])</f>
        <v>2025</v>
      </c>
    </row>
    <row r="127" spans="1:9" x14ac:dyDescent="0.3">
      <c r="A127" s="23">
        <v>45743</v>
      </c>
      <c r="B127" s="24" t="s">
        <v>215</v>
      </c>
      <c r="C127" s="24" t="s">
        <v>56</v>
      </c>
      <c r="D127" s="24" t="s">
        <v>59</v>
      </c>
      <c r="E127" s="25">
        <v>5039.21</v>
      </c>
      <c r="F127" s="25">
        <v>1987.87</v>
      </c>
      <c r="G127" s="26">
        <f>T_Ventes[[#This Row],[CA HT]]-T_Ventes[[#This Row],[Coût achat HT]]</f>
        <v>3051.34</v>
      </c>
      <c r="H127" s="27">
        <f>DATE(YEAR(T_Ventes[[#This Row],[Date facture]]),MONTH(T_Ventes[[#This Row],[Date facture]]),1)</f>
        <v>45717</v>
      </c>
      <c r="I127" s="28">
        <f>YEAR(T_Ventes[[#This Row],[Date facture]])</f>
        <v>2025</v>
      </c>
    </row>
    <row r="128" spans="1:9" x14ac:dyDescent="0.3">
      <c r="A128" s="23">
        <v>45744</v>
      </c>
      <c r="B128" s="24" t="s">
        <v>216</v>
      </c>
      <c r="C128" s="24" t="s">
        <v>66</v>
      </c>
      <c r="D128" s="24" t="s">
        <v>64</v>
      </c>
      <c r="E128" s="25">
        <v>5401.01</v>
      </c>
      <c r="F128" s="25">
        <v>4043.04</v>
      </c>
      <c r="G128" s="26">
        <f>T_Ventes[[#This Row],[CA HT]]-T_Ventes[[#This Row],[Coût achat HT]]</f>
        <v>1357.9700000000003</v>
      </c>
      <c r="H128" s="27">
        <f>DATE(YEAR(T_Ventes[[#This Row],[Date facture]]),MONTH(T_Ventes[[#This Row],[Date facture]]),1)</f>
        <v>45717</v>
      </c>
      <c r="I128" s="28">
        <f>YEAR(T_Ventes[[#This Row],[Date facture]])</f>
        <v>2025</v>
      </c>
    </row>
    <row r="129" spans="1:9" x14ac:dyDescent="0.3">
      <c r="A129" s="23">
        <v>45744</v>
      </c>
      <c r="B129" s="24" t="s">
        <v>217</v>
      </c>
      <c r="C129" s="24" t="s">
        <v>128</v>
      </c>
      <c r="D129" s="24" t="s">
        <v>57</v>
      </c>
      <c r="E129" s="25">
        <v>3866.09</v>
      </c>
      <c r="F129" s="25">
        <v>2554.25</v>
      </c>
      <c r="G129" s="26">
        <f>T_Ventes[[#This Row],[CA HT]]-T_Ventes[[#This Row],[Coût achat HT]]</f>
        <v>1311.8400000000001</v>
      </c>
      <c r="H129" s="27">
        <f>DATE(YEAR(T_Ventes[[#This Row],[Date facture]]),MONTH(T_Ventes[[#This Row],[Date facture]]),1)</f>
        <v>45717</v>
      </c>
      <c r="I129" s="28">
        <f>YEAR(T_Ventes[[#This Row],[Date facture]])</f>
        <v>2025</v>
      </c>
    </row>
    <row r="130" spans="1:9" x14ac:dyDescent="0.3">
      <c r="A130" s="23">
        <v>45748</v>
      </c>
      <c r="B130" s="24" t="s">
        <v>218</v>
      </c>
      <c r="C130" s="24" t="s">
        <v>56</v>
      </c>
      <c r="D130" s="24" t="s">
        <v>64</v>
      </c>
      <c r="E130" s="25">
        <v>5118.04</v>
      </c>
      <c r="F130" s="25">
        <v>3924.12</v>
      </c>
      <c r="G130" s="26">
        <f>T_Ventes[[#This Row],[CA HT]]-T_Ventes[[#This Row],[Coût achat HT]]</f>
        <v>1193.92</v>
      </c>
      <c r="H130" s="27">
        <f>DATE(YEAR(T_Ventes[[#This Row],[Date facture]]),MONTH(T_Ventes[[#This Row],[Date facture]]),1)</f>
        <v>45748</v>
      </c>
      <c r="I130" s="28">
        <f>YEAR(T_Ventes[[#This Row],[Date facture]])</f>
        <v>2025</v>
      </c>
    </row>
    <row r="131" spans="1:9" x14ac:dyDescent="0.3">
      <c r="A131" s="23">
        <v>45748</v>
      </c>
      <c r="B131" s="24" t="s">
        <v>219</v>
      </c>
      <c r="C131" s="24" t="s">
        <v>76</v>
      </c>
      <c r="D131" s="24" t="s">
        <v>57</v>
      </c>
      <c r="E131" s="25">
        <v>5016</v>
      </c>
      <c r="F131" s="25">
        <v>3360.07</v>
      </c>
      <c r="G131" s="26">
        <f>T_Ventes[[#This Row],[CA HT]]-T_Ventes[[#This Row],[Coût achat HT]]</f>
        <v>1655.9299999999998</v>
      </c>
      <c r="H131" s="27">
        <f>DATE(YEAR(T_Ventes[[#This Row],[Date facture]]),MONTH(T_Ventes[[#This Row],[Date facture]]),1)</f>
        <v>45748</v>
      </c>
      <c r="I131" s="28">
        <f>YEAR(T_Ventes[[#This Row],[Date facture]])</f>
        <v>2025</v>
      </c>
    </row>
    <row r="132" spans="1:9" x14ac:dyDescent="0.3">
      <c r="A132" s="23">
        <v>45748</v>
      </c>
      <c r="B132" s="24" t="s">
        <v>220</v>
      </c>
      <c r="C132" s="24" t="s">
        <v>115</v>
      </c>
      <c r="D132" s="24" t="s">
        <v>59</v>
      </c>
      <c r="E132" s="25">
        <v>4241.7700000000004</v>
      </c>
      <c r="F132" s="25">
        <v>1608.04</v>
      </c>
      <c r="G132" s="26">
        <f>T_Ventes[[#This Row],[CA HT]]-T_Ventes[[#This Row],[Coût achat HT]]</f>
        <v>2633.7300000000005</v>
      </c>
      <c r="H132" s="27">
        <f>DATE(YEAR(T_Ventes[[#This Row],[Date facture]]),MONTH(T_Ventes[[#This Row],[Date facture]]),1)</f>
        <v>45748</v>
      </c>
      <c r="I132" s="28">
        <f>YEAR(T_Ventes[[#This Row],[Date facture]])</f>
        <v>2025</v>
      </c>
    </row>
    <row r="133" spans="1:9" x14ac:dyDescent="0.3">
      <c r="A133" s="23">
        <v>45749</v>
      </c>
      <c r="B133" s="24" t="s">
        <v>221</v>
      </c>
      <c r="C133" s="24" t="s">
        <v>56</v>
      </c>
      <c r="D133" s="24" t="s">
        <v>59</v>
      </c>
      <c r="E133" s="25">
        <v>4959.71</v>
      </c>
      <c r="F133" s="25">
        <v>1858.24</v>
      </c>
      <c r="G133" s="26">
        <f>T_Ventes[[#This Row],[CA HT]]-T_Ventes[[#This Row],[Coût achat HT]]</f>
        <v>3101.4700000000003</v>
      </c>
      <c r="H133" s="27">
        <f>DATE(YEAR(T_Ventes[[#This Row],[Date facture]]),MONTH(T_Ventes[[#This Row],[Date facture]]),1)</f>
        <v>45748</v>
      </c>
      <c r="I133" s="28">
        <f>YEAR(T_Ventes[[#This Row],[Date facture]])</f>
        <v>2025</v>
      </c>
    </row>
    <row r="134" spans="1:9" x14ac:dyDescent="0.3">
      <c r="A134" s="23">
        <v>45751</v>
      </c>
      <c r="B134" s="24" t="s">
        <v>222</v>
      </c>
      <c r="C134" s="24" t="s">
        <v>162</v>
      </c>
      <c r="D134" s="24" t="s">
        <v>64</v>
      </c>
      <c r="E134" s="25">
        <v>5506.68</v>
      </c>
      <c r="F134" s="25">
        <v>4126.66</v>
      </c>
      <c r="G134" s="26">
        <f>T_Ventes[[#This Row],[CA HT]]-T_Ventes[[#This Row],[Coût achat HT]]</f>
        <v>1380.0200000000004</v>
      </c>
      <c r="H134" s="27">
        <f>DATE(YEAR(T_Ventes[[#This Row],[Date facture]]),MONTH(T_Ventes[[#This Row],[Date facture]]),1)</f>
        <v>45748</v>
      </c>
      <c r="I134" s="28">
        <f>YEAR(T_Ventes[[#This Row],[Date facture]])</f>
        <v>2025</v>
      </c>
    </row>
    <row r="135" spans="1:9" x14ac:dyDescent="0.3">
      <c r="A135" s="23">
        <v>45751</v>
      </c>
      <c r="B135" s="24" t="s">
        <v>223</v>
      </c>
      <c r="C135" s="24" t="s">
        <v>100</v>
      </c>
      <c r="D135" s="24" t="s">
        <v>57</v>
      </c>
      <c r="E135" s="25">
        <v>2383.89</v>
      </c>
      <c r="F135" s="25">
        <v>1534.5</v>
      </c>
      <c r="G135" s="26">
        <f>T_Ventes[[#This Row],[CA HT]]-T_Ventes[[#This Row],[Coût achat HT]]</f>
        <v>849.38999999999987</v>
      </c>
      <c r="H135" s="27">
        <f>DATE(YEAR(T_Ventes[[#This Row],[Date facture]]),MONTH(T_Ventes[[#This Row],[Date facture]]),1)</f>
        <v>45748</v>
      </c>
      <c r="I135" s="28">
        <f>YEAR(T_Ventes[[#This Row],[Date facture]])</f>
        <v>2025</v>
      </c>
    </row>
    <row r="136" spans="1:9" x14ac:dyDescent="0.3">
      <c r="A136" s="23">
        <v>45752</v>
      </c>
      <c r="B136" s="24" t="s">
        <v>224</v>
      </c>
      <c r="C136" s="24" t="s">
        <v>73</v>
      </c>
      <c r="D136" s="24" t="s">
        <v>64</v>
      </c>
      <c r="E136" s="25">
        <v>1949.73</v>
      </c>
      <c r="F136" s="25">
        <v>1494.92</v>
      </c>
      <c r="G136" s="26">
        <f>T_Ventes[[#This Row],[CA HT]]-T_Ventes[[#This Row],[Coût achat HT]]</f>
        <v>454.80999999999995</v>
      </c>
      <c r="H136" s="27">
        <f>DATE(YEAR(T_Ventes[[#This Row],[Date facture]]),MONTH(T_Ventes[[#This Row],[Date facture]]),1)</f>
        <v>45748</v>
      </c>
      <c r="I136" s="28">
        <f>YEAR(T_Ventes[[#This Row],[Date facture]])</f>
        <v>2025</v>
      </c>
    </row>
    <row r="137" spans="1:9" x14ac:dyDescent="0.3">
      <c r="A137" s="23">
        <v>45752</v>
      </c>
      <c r="B137" s="24" t="s">
        <v>225</v>
      </c>
      <c r="C137" s="24" t="s">
        <v>56</v>
      </c>
      <c r="D137" s="24" t="s">
        <v>64</v>
      </c>
      <c r="E137" s="25">
        <v>5505.32</v>
      </c>
      <c r="F137" s="25">
        <v>4214.32</v>
      </c>
      <c r="G137" s="26">
        <f>T_Ventes[[#This Row],[CA HT]]-T_Ventes[[#This Row],[Coût achat HT]]</f>
        <v>1291</v>
      </c>
      <c r="H137" s="27">
        <f>DATE(YEAR(T_Ventes[[#This Row],[Date facture]]),MONTH(T_Ventes[[#This Row],[Date facture]]),1)</f>
        <v>45748</v>
      </c>
      <c r="I137" s="28">
        <f>YEAR(T_Ventes[[#This Row],[Date facture]])</f>
        <v>2025</v>
      </c>
    </row>
    <row r="138" spans="1:9" x14ac:dyDescent="0.3">
      <c r="A138" s="23">
        <v>45752</v>
      </c>
      <c r="B138" s="24" t="s">
        <v>226</v>
      </c>
      <c r="C138" s="24" t="s">
        <v>128</v>
      </c>
      <c r="D138" s="24" t="s">
        <v>71</v>
      </c>
      <c r="E138" s="25">
        <v>5740.14</v>
      </c>
      <c r="F138" s="25">
        <v>3338.48</v>
      </c>
      <c r="G138" s="26">
        <f>T_Ventes[[#This Row],[CA HT]]-T_Ventes[[#This Row],[Coût achat HT]]</f>
        <v>2401.6600000000003</v>
      </c>
      <c r="H138" s="27">
        <f>DATE(YEAR(T_Ventes[[#This Row],[Date facture]]),MONTH(T_Ventes[[#This Row],[Date facture]]),1)</f>
        <v>45748</v>
      </c>
      <c r="I138" s="28">
        <f>YEAR(T_Ventes[[#This Row],[Date facture]])</f>
        <v>2025</v>
      </c>
    </row>
    <row r="139" spans="1:9" x14ac:dyDescent="0.3">
      <c r="A139" s="23">
        <v>45752</v>
      </c>
      <c r="B139" s="24" t="s">
        <v>227</v>
      </c>
      <c r="C139" s="24" t="s">
        <v>175</v>
      </c>
      <c r="D139" s="24" t="s">
        <v>71</v>
      </c>
      <c r="E139" s="25">
        <v>5390.74</v>
      </c>
      <c r="F139" s="25">
        <v>3262.04</v>
      </c>
      <c r="G139" s="26">
        <f>T_Ventes[[#This Row],[CA HT]]-T_Ventes[[#This Row],[Coût achat HT]]</f>
        <v>2128.6999999999998</v>
      </c>
      <c r="H139" s="27">
        <f>DATE(YEAR(T_Ventes[[#This Row],[Date facture]]),MONTH(T_Ventes[[#This Row],[Date facture]]),1)</f>
        <v>45748</v>
      </c>
      <c r="I139" s="28">
        <f>YEAR(T_Ventes[[#This Row],[Date facture]])</f>
        <v>2025</v>
      </c>
    </row>
    <row r="140" spans="1:9" x14ac:dyDescent="0.3">
      <c r="A140" s="23">
        <v>45752</v>
      </c>
      <c r="B140" s="24" t="s">
        <v>228</v>
      </c>
      <c r="C140" s="24" t="s">
        <v>115</v>
      </c>
      <c r="D140" s="24" t="s">
        <v>71</v>
      </c>
      <c r="E140" s="25">
        <v>3316.29</v>
      </c>
      <c r="F140" s="25">
        <v>1951.13</v>
      </c>
      <c r="G140" s="26">
        <f>T_Ventes[[#This Row],[CA HT]]-T_Ventes[[#This Row],[Coût achat HT]]</f>
        <v>1365.1599999999999</v>
      </c>
      <c r="H140" s="27">
        <f>DATE(YEAR(T_Ventes[[#This Row],[Date facture]]),MONTH(T_Ventes[[#This Row],[Date facture]]),1)</f>
        <v>45748</v>
      </c>
      <c r="I140" s="28">
        <f>YEAR(T_Ventes[[#This Row],[Date facture]])</f>
        <v>2025</v>
      </c>
    </row>
    <row r="141" spans="1:9" x14ac:dyDescent="0.3">
      <c r="A141" s="23">
        <v>45753</v>
      </c>
      <c r="B141" s="24" t="s">
        <v>229</v>
      </c>
      <c r="C141" s="24" t="s">
        <v>56</v>
      </c>
      <c r="D141" s="24" t="s">
        <v>64</v>
      </c>
      <c r="E141" s="25">
        <v>3514.55</v>
      </c>
      <c r="F141" s="25">
        <v>2666.09</v>
      </c>
      <c r="G141" s="26">
        <f>T_Ventes[[#This Row],[CA HT]]-T_Ventes[[#This Row],[Coût achat HT]]</f>
        <v>848.46</v>
      </c>
      <c r="H141" s="27">
        <f>DATE(YEAR(T_Ventes[[#This Row],[Date facture]]),MONTH(T_Ventes[[#This Row],[Date facture]]),1)</f>
        <v>45748</v>
      </c>
      <c r="I141" s="28">
        <f>YEAR(T_Ventes[[#This Row],[Date facture]])</f>
        <v>2025</v>
      </c>
    </row>
    <row r="142" spans="1:9" x14ac:dyDescent="0.3">
      <c r="A142" s="23">
        <v>45756</v>
      </c>
      <c r="B142" s="24" t="s">
        <v>230</v>
      </c>
      <c r="C142" s="24" t="s">
        <v>56</v>
      </c>
      <c r="D142" s="24" t="s">
        <v>64</v>
      </c>
      <c r="E142" s="25">
        <v>2270</v>
      </c>
      <c r="F142" s="25">
        <v>1720.9</v>
      </c>
      <c r="G142" s="26">
        <f>T_Ventes[[#This Row],[CA HT]]-T_Ventes[[#This Row],[Coût achat HT]]</f>
        <v>549.09999999999991</v>
      </c>
      <c r="H142" s="27">
        <f>DATE(YEAR(T_Ventes[[#This Row],[Date facture]]),MONTH(T_Ventes[[#This Row],[Date facture]]),1)</f>
        <v>45748</v>
      </c>
      <c r="I142" s="28">
        <f>YEAR(T_Ventes[[#This Row],[Date facture]])</f>
        <v>2025</v>
      </c>
    </row>
    <row r="143" spans="1:9" x14ac:dyDescent="0.3">
      <c r="A143" s="23">
        <v>45756</v>
      </c>
      <c r="B143" s="24" t="s">
        <v>231</v>
      </c>
      <c r="C143" s="24" t="s">
        <v>90</v>
      </c>
      <c r="D143" s="24" t="s">
        <v>57</v>
      </c>
      <c r="E143" s="25">
        <v>4506.09</v>
      </c>
      <c r="F143" s="25">
        <v>2938.45</v>
      </c>
      <c r="G143" s="26">
        <f>T_Ventes[[#This Row],[CA HT]]-T_Ventes[[#This Row],[Coût achat HT]]</f>
        <v>1567.6400000000003</v>
      </c>
      <c r="H143" s="27">
        <f>DATE(YEAR(T_Ventes[[#This Row],[Date facture]]),MONTH(T_Ventes[[#This Row],[Date facture]]),1)</f>
        <v>45748</v>
      </c>
      <c r="I143" s="28">
        <f>YEAR(T_Ventes[[#This Row],[Date facture]])</f>
        <v>2025</v>
      </c>
    </row>
    <row r="144" spans="1:9" x14ac:dyDescent="0.3">
      <c r="A144" s="23">
        <v>45756</v>
      </c>
      <c r="B144" s="24" t="s">
        <v>232</v>
      </c>
      <c r="C144" s="24" t="s">
        <v>152</v>
      </c>
      <c r="D144" s="24" t="s">
        <v>57</v>
      </c>
      <c r="E144" s="25">
        <v>1164.8800000000001</v>
      </c>
      <c r="F144" s="25">
        <v>750.58</v>
      </c>
      <c r="G144" s="26">
        <f>T_Ventes[[#This Row],[CA HT]]-T_Ventes[[#This Row],[Coût achat HT]]</f>
        <v>414.30000000000007</v>
      </c>
      <c r="H144" s="27">
        <f>DATE(YEAR(T_Ventes[[#This Row],[Date facture]]),MONTH(T_Ventes[[#This Row],[Date facture]]),1)</f>
        <v>45748</v>
      </c>
      <c r="I144" s="28">
        <f>YEAR(T_Ventes[[#This Row],[Date facture]])</f>
        <v>2025</v>
      </c>
    </row>
    <row r="145" spans="1:9" x14ac:dyDescent="0.3">
      <c r="A145" s="23">
        <v>45757</v>
      </c>
      <c r="B145" s="24" t="s">
        <v>233</v>
      </c>
      <c r="C145" s="24" t="s">
        <v>80</v>
      </c>
      <c r="D145" s="24" t="s">
        <v>57</v>
      </c>
      <c r="E145" s="25">
        <v>2843.03</v>
      </c>
      <c r="F145" s="25">
        <v>1919.49</v>
      </c>
      <c r="G145" s="26">
        <f>T_Ventes[[#This Row],[CA HT]]-T_Ventes[[#This Row],[Coût achat HT]]</f>
        <v>923.54000000000019</v>
      </c>
      <c r="H145" s="27">
        <f>DATE(YEAR(T_Ventes[[#This Row],[Date facture]]),MONTH(T_Ventes[[#This Row],[Date facture]]),1)</f>
        <v>45748</v>
      </c>
      <c r="I145" s="28">
        <f>YEAR(T_Ventes[[#This Row],[Date facture]])</f>
        <v>2025</v>
      </c>
    </row>
    <row r="146" spans="1:9" x14ac:dyDescent="0.3">
      <c r="A146" s="23">
        <v>45758</v>
      </c>
      <c r="B146" s="24" t="s">
        <v>234</v>
      </c>
      <c r="C146" s="24" t="s">
        <v>56</v>
      </c>
      <c r="D146" s="24" t="s">
        <v>64</v>
      </c>
      <c r="E146" s="25">
        <v>3094.24</v>
      </c>
      <c r="F146" s="25">
        <v>2359.0700000000002</v>
      </c>
      <c r="G146" s="26">
        <f>T_Ventes[[#This Row],[CA HT]]-T_Ventes[[#This Row],[Coût achat HT]]</f>
        <v>735.16999999999962</v>
      </c>
      <c r="H146" s="27">
        <f>DATE(YEAR(T_Ventes[[#This Row],[Date facture]]),MONTH(T_Ventes[[#This Row],[Date facture]]),1)</f>
        <v>45748</v>
      </c>
      <c r="I146" s="28">
        <f>YEAR(T_Ventes[[#This Row],[Date facture]])</f>
        <v>2025</v>
      </c>
    </row>
    <row r="147" spans="1:9" x14ac:dyDescent="0.3">
      <c r="A147" s="23">
        <v>45758</v>
      </c>
      <c r="B147" s="24" t="s">
        <v>235</v>
      </c>
      <c r="C147" s="24" t="s">
        <v>56</v>
      </c>
      <c r="D147" s="24" t="s">
        <v>64</v>
      </c>
      <c r="E147" s="25">
        <v>3961.85</v>
      </c>
      <c r="F147" s="25">
        <v>3038.65</v>
      </c>
      <c r="G147" s="26">
        <f>T_Ventes[[#This Row],[CA HT]]-T_Ventes[[#This Row],[Coût achat HT]]</f>
        <v>923.19999999999982</v>
      </c>
      <c r="H147" s="27">
        <f>DATE(YEAR(T_Ventes[[#This Row],[Date facture]]),MONTH(T_Ventes[[#This Row],[Date facture]]),1)</f>
        <v>45748</v>
      </c>
      <c r="I147" s="28">
        <f>YEAR(T_Ventes[[#This Row],[Date facture]])</f>
        <v>2025</v>
      </c>
    </row>
    <row r="148" spans="1:9" x14ac:dyDescent="0.3">
      <c r="A148" s="23">
        <v>45759</v>
      </c>
      <c r="B148" s="24" t="s">
        <v>236</v>
      </c>
      <c r="C148" s="24" t="s">
        <v>56</v>
      </c>
      <c r="D148" s="24" t="s">
        <v>64</v>
      </c>
      <c r="E148" s="25">
        <v>3497.35</v>
      </c>
      <c r="F148" s="25">
        <v>2641.83</v>
      </c>
      <c r="G148" s="26">
        <f>T_Ventes[[#This Row],[CA HT]]-T_Ventes[[#This Row],[Coût achat HT]]</f>
        <v>855.52</v>
      </c>
      <c r="H148" s="27">
        <f>DATE(YEAR(T_Ventes[[#This Row],[Date facture]]),MONTH(T_Ventes[[#This Row],[Date facture]]),1)</f>
        <v>45748</v>
      </c>
      <c r="I148" s="28">
        <f>YEAR(T_Ventes[[#This Row],[Date facture]])</f>
        <v>2025</v>
      </c>
    </row>
    <row r="149" spans="1:9" x14ac:dyDescent="0.3">
      <c r="A149" s="23">
        <v>45759</v>
      </c>
      <c r="B149" s="24" t="s">
        <v>237</v>
      </c>
      <c r="C149" s="24" t="s">
        <v>56</v>
      </c>
      <c r="D149" s="24" t="s">
        <v>71</v>
      </c>
      <c r="E149" s="25">
        <v>5005.3599999999997</v>
      </c>
      <c r="F149" s="25">
        <v>3021.23</v>
      </c>
      <c r="G149" s="26">
        <f>T_Ventes[[#This Row],[CA HT]]-T_Ventes[[#This Row],[Coût achat HT]]</f>
        <v>1984.1299999999997</v>
      </c>
      <c r="H149" s="27">
        <f>DATE(YEAR(T_Ventes[[#This Row],[Date facture]]),MONTH(T_Ventes[[#This Row],[Date facture]]),1)</f>
        <v>45748</v>
      </c>
      <c r="I149" s="28">
        <f>YEAR(T_Ventes[[#This Row],[Date facture]])</f>
        <v>2025</v>
      </c>
    </row>
    <row r="150" spans="1:9" x14ac:dyDescent="0.3">
      <c r="A150" s="23">
        <v>45761</v>
      </c>
      <c r="B150" s="24" t="s">
        <v>238</v>
      </c>
      <c r="C150" s="24" t="s">
        <v>56</v>
      </c>
      <c r="D150" s="24" t="s">
        <v>64</v>
      </c>
      <c r="E150" s="25">
        <v>6880.28</v>
      </c>
      <c r="F150" s="25">
        <v>5220.72</v>
      </c>
      <c r="G150" s="26">
        <f>T_Ventes[[#This Row],[CA HT]]-T_Ventes[[#This Row],[Coût achat HT]]</f>
        <v>1659.5599999999995</v>
      </c>
      <c r="H150" s="27">
        <f>DATE(YEAR(T_Ventes[[#This Row],[Date facture]]),MONTH(T_Ventes[[#This Row],[Date facture]]),1)</f>
        <v>45748</v>
      </c>
      <c r="I150" s="28">
        <f>YEAR(T_Ventes[[#This Row],[Date facture]])</f>
        <v>2025</v>
      </c>
    </row>
    <row r="151" spans="1:9" x14ac:dyDescent="0.3">
      <c r="A151" s="23">
        <v>45761</v>
      </c>
      <c r="B151" s="24" t="s">
        <v>239</v>
      </c>
      <c r="C151" s="24" t="s">
        <v>87</v>
      </c>
      <c r="D151" s="24" t="s">
        <v>57</v>
      </c>
      <c r="E151" s="25">
        <v>2875.32</v>
      </c>
      <c r="F151" s="25">
        <v>1875.63</v>
      </c>
      <c r="G151" s="26">
        <f>T_Ventes[[#This Row],[CA HT]]-T_Ventes[[#This Row],[Coût achat HT]]</f>
        <v>999.69</v>
      </c>
      <c r="H151" s="27">
        <f>DATE(YEAR(T_Ventes[[#This Row],[Date facture]]),MONTH(T_Ventes[[#This Row],[Date facture]]),1)</f>
        <v>45748</v>
      </c>
      <c r="I151" s="28">
        <f>YEAR(T_Ventes[[#This Row],[Date facture]])</f>
        <v>2025</v>
      </c>
    </row>
    <row r="152" spans="1:9" x14ac:dyDescent="0.3">
      <c r="A152" s="23">
        <v>45761</v>
      </c>
      <c r="B152" s="24" t="s">
        <v>240</v>
      </c>
      <c r="C152" s="24" t="s">
        <v>56</v>
      </c>
      <c r="D152" s="24" t="s">
        <v>59</v>
      </c>
      <c r="E152" s="25">
        <v>2737.24</v>
      </c>
      <c r="F152" s="25">
        <v>1069.93</v>
      </c>
      <c r="G152" s="26">
        <f>T_Ventes[[#This Row],[CA HT]]-T_Ventes[[#This Row],[Coût achat HT]]</f>
        <v>1667.3099999999997</v>
      </c>
      <c r="H152" s="27">
        <f>DATE(YEAR(T_Ventes[[#This Row],[Date facture]]),MONTH(T_Ventes[[#This Row],[Date facture]]),1)</f>
        <v>45748</v>
      </c>
      <c r="I152" s="28">
        <f>YEAR(T_Ventes[[#This Row],[Date facture]])</f>
        <v>2025</v>
      </c>
    </row>
    <row r="153" spans="1:9" x14ac:dyDescent="0.3">
      <c r="A153" s="23">
        <v>45762</v>
      </c>
      <c r="B153" s="24" t="s">
        <v>241</v>
      </c>
      <c r="C153" s="24" t="s">
        <v>90</v>
      </c>
      <c r="D153" s="24" t="s">
        <v>64</v>
      </c>
      <c r="E153" s="25">
        <v>4955.09</v>
      </c>
      <c r="F153" s="25">
        <v>3751.26</v>
      </c>
      <c r="G153" s="26">
        <f>T_Ventes[[#This Row],[CA HT]]-T_Ventes[[#This Row],[Coût achat HT]]</f>
        <v>1203.83</v>
      </c>
      <c r="H153" s="27">
        <f>DATE(YEAR(T_Ventes[[#This Row],[Date facture]]),MONTH(T_Ventes[[#This Row],[Date facture]]),1)</f>
        <v>45748</v>
      </c>
      <c r="I153" s="28">
        <f>YEAR(T_Ventes[[#This Row],[Date facture]])</f>
        <v>2025</v>
      </c>
    </row>
    <row r="154" spans="1:9" x14ac:dyDescent="0.3">
      <c r="A154" s="23">
        <v>45762</v>
      </c>
      <c r="B154" s="24" t="s">
        <v>242</v>
      </c>
      <c r="C154" s="24" t="s">
        <v>80</v>
      </c>
      <c r="D154" s="24" t="s">
        <v>64</v>
      </c>
      <c r="E154" s="25">
        <v>6392.05</v>
      </c>
      <c r="F154" s="25">
        <v>4831.3999999999996</v>
      </c>
      <c r="G154" s="26">
        <f>T_Ventes[[#This Row],[CA HT]]-T_Ventes[[#This Row],[Coût achat HT]]</f>
        <v>1560.6500000000005</v>
      </c>
      <c r="H154" s="27">
        <f>DATE(YEAR(T_Ventes[[#This Row],[Date facture]]),MONTH(T_Ventes[[#This Row],[Date facture]]),1)</f>
        <v>45748</v>
      </c>
      <c r="I154" s="28">
        <f>YEAR(T_Ventes[[#This Row],[Date facture]])</f>
        <v>2025</v>
      </c>
    </row>
    <row r="155" spans="1:9" x14ac:dyDescent="0.3">
      <c r="A155" s="23">
        <v>45763</v>
      </c>
      <c r="B155" s="24" t="s">
        <v>243</v>
      </c>
      <c r="C155" s="24" t="s">
        <v>244</v>
      </c>
      <c r="D155" s="24" t="s">
        <v>64</v>
      </c>
      <c r="E155" s="25">
        <v>3092.48</v>
      </c>
      <c r="F155" s="25">
        <v>2351.5500000000002</v>
      </c>
      <c r="G155" s="26">
        <f>T_Ventes[[#This Row],[CA HT]]-T_Ventes[[#This Row],[Coût achat HT]]</f>
        <v>740.92999999999984</v>
      </c>
      <c r="H155" s="27">
        <f>DATE(YEAR(T_Ventes[[#This Row],[Date facture]]),MONTH(T_Ventes[[#This Row],[Date facture]]),1)</f>
        <v>45748</v>
      </c>
      <c r="I155" s="28">
        <f>YEAR(T_Ventes[[#This Row],[Date facture]])</f>
        <v>2025</v>
      </c>
    </row>
    <row r="156" spans="1:9" x14ac:dyDescent="0.3">
      <c r="A156" s="23">
        <v>45764</v>
      </c>
      <c r="B156" s="24" t="s">
        <v>245</v>
      </c>
      <c r="C156" s="24" t="s">
        <v>80</v>
      </c>
      <c r="D156" s="24" t="s">
        <v>64</v>
      </c>
      <c r="E156" s="25">
        <v>4924.58</v>
      </c>
      <c r="F156" s="25">
        <v>3760.15</v>
      </c>
      <c r="G156" s="26">
        <f>T_Ventes[[#This Row],[CA HT]]-T_Ventes[[#This Row],[Coût achat HT]]</f>
        <v>1164.4299999999998</v>
      </c>
      <c r="H156" s="27">
        <f>DATE(YEAR(T_Ventes[[#This Row],[Date facture]]),MONTH(T_Ventes[[#This Row],[Date facture]]),1)</f>
        <v>45748</v>
      </c>
      <c r="I156" s="28">
        <f>YEAR(T_Ventes[[#This Row],[Date facture]])</f>
        <v>2025</v>
      </c>
    </row>
    <row r="157" spans="1:9" x14ac:dyDescent="0.3">
      <c r="A157" s="23">
        <v>45764</v>
      </c>
      <c r="B157" s="24" t="s">
        <v>246</v>
      </c>
      <c r="C157" s="24" t="s">
        <v>247</v>
      </c>
      <c r="D157" s="24" t="s">
        <v>64</v>
      </c>
      <c r="E157" s="25">
        <v>6373.65</v>
      </c>
      <c r="F157" s="25">
        <v>4769.26</v>
      </c>
      <c r="G157" s="26">
        <f>T_Ventes[[#This Row],[CA HT]]-T_Ventes[[#This Row],[Coût achat HT]]</f>
        <v>1604.3899999999994</v>
      </c>
      <c r="H157" s="27">
        <f>DATE(YEAR(T_Ventes[[#This Row],[Date facture]]),MONTH(T_Ventes[[#This Row],[Date facture]]),1)</f>
        <v>45748</v>
      </c>
      <c r="I157" s="28">
        <f>YEAR(T_Ventes[[#This Row],[Date facture]])</f>
        <v>2025</v>
      </c>
    </row>
    <row r="158" spans="1:9" x14ac:dyDescent="0.3">
      <c r="A158" s="23">
        <v>45764</v>
      </c>
      <c r="B158" s="24" t="s">
        <v>248</v>
      </c>
      <c r="C158" s="24" t="s">
        <v>128</v>
      </c>
      <c r="D158" s="24" t="s">
        <v>57</v>
      </c>
      <c r="E158" s="25">
        <v>5457.2</v>
      </c>
      <c r="F158" s="25">
        <v>3603.75</v>
      </c>
      <c r="G158" s="26">
        <f>T_Ventes[[#This Row],[CA HT]]-T_Ventes[[#This Row],[Coût achat HT]]</f>
        <v>1853.4499999999998</v>
      </c>
      <c r="H158" s="27">
        <f>DATE(YEAR(T_Ventes[[#This Row],[Date facture]]),MONTH(T_Ventes[[#This Row],[Date facture]]),1)</f>
        <v>45748</v>
      </c>
      <c r="I158" s="28">
        <f>YEAR(T_Ventes[[#This Row],[Date facture]])</f>
        <v>2025</v>
      </c>
    </row>
    <row r="159" spans="1:9" x14ac:dyDescent="0.3">
      <c r="A159" s="23">
        <v>45764</v>
      </c>
      <c r="B159" s="24" t="s">
        <v>249</v>
      </c>
      <c r="C159" s="24" t="s">
        <v>90</v>
      </c>
      <c r="D159" s="24" t="s">
        <v>57</v>
      </c>
      <c r="E159" s="25">
        <v>5299.57</v>
      </c>
      <c r="F159" s="25">
        <v>3518.83</v>
      </c>
      <c r="G159" s="26">
        <f>T_Ventes[[#This Row],[CA HT]]-T_Ventes[[#This Row],[Coût achat HT]]</f>
        <v>1780.7399999999998</v>
      </c>
      <c r="H159" s="27">
        <f>DATE(YEAR(T_Ventes[[#This Row],[Date facture]]),MONTH(T_Ventes[[#This Row],[Date facture]]),1)</f>
        <v>45748</v>
      </c>
      <c r="I159" s="28">
        <f>YEAR(T_Ventes[[#This Row],[Date facture]])</f>
        <v>2025</v>
      </c>
    </row>
    <row r="160" spans="1:9" x14ac:dyDescent="0.3">
      <c r="A160" s="23">
        <v>45764</v>
      </c>
      <c r="B160" s="24" t="s">
        <v>250</v>
      </c>
      <c r="C160" s="24" t="s">
        <v>244</v>
      </c>
      <c r="D160" s="24" t="s">
        <v>57</v>
      </c>
      <c r="E160" s="25">
        <v>2094.37</v>
      </c>
      <c r="F160" s="25">
        <v>1408.88</v>
      </c>
      <c r="G160" s="26">
        <f>T_Ventes[[#This Row],[CA HT]]-T_Ventes[[#This Row],[Coût achat HT]]</f>
        <v>685.48999999999978</v>
      </c>
      <c r="H160" s="27">
        <f>DATE(YEAR(T_Ventes[[#This Row],[Date facture]]),MONTH(T_Ventes[[#This Row],[Date facture]]),1)</f>
        <v>45748</v>
      </c>
      <c r="I160" s="28">
        <f>YEAR(T_Ventes[[#This Row],[Date facture]])</f>
        <v>2025</v>
      </c>
    </row>
    <row r="161" spans="1:9" x14ac:dyDescent="0.3">
      <c r="A161" s="23">
        <v>45765</v>
      </c>
      <c r="B161" s="24" t="s">
        <v>251</v>
      </c>
      <c r="C161" s="24" t="s">
        <v>252</v>
      </c>
      <c r="D161" s="24" t="s">
        <v>64</v>
      </c>
      <c r="E161" s="25">
        <v>4029.32</v>
      </c>
      <c r="F161" s="25">
        <v>3015.62</v>
      </c>
      <c r="G161" s="26">
        <f>T_Ventes[[#This Row],[CA HT]]-T_Ventes[[#This Row],[Coût achat HT]]</f>
        <v>1013.7000000000003</v>
      </c>
      <c r="H161" s="27">
        <f>DATE(YEAR(T_Ventes[[#This Row],[Date facture]]),MONTH(T_Ventes[[#This Row],[Date facture]]),1)</f>
        <v>45748</v>
      </c>
      <c r="I161" s="28">
        <f>YEAR(T_Ventes[[#This Row],[Date facture]])</f>
        <v>2025</v>
      </c>
    </row>
    <row r="162" spans="1:9" x14ac:dyDescent="0.3">
      <c r="A162" s="23">
        <v>45765</v>
      </c>
      <c r="B162" s="24" t="s">
        <v>253</v>
      </c>
      <c r="C162" s="24" t="s">
        <v>87</v>
      </c>
      <c r="D162" s="24" t="s">
        <v>57</v>
      </c>
      <c r="E162" s="25">
        <v>3624.29</v>
      </c>
      <c r="F162" s="25">
        <v>2432.16</v>
      </c>
      <c r="G162" s="26">
        <f>T_Ventes[[#This Row],[CA HT]]-T_Ventes[[#This Row],[Coût achat HT]]</f>
        <v>1192.1300000000001</v>
      </c>
      <c r="H162" s="27">
        <f>DATE(YEAR(T_Ventes[[#This Row],[Date facture]]),MONTH(T_Ventes[[#This Row],[Date facture]]),1)</f>
        <v>45748</v>
      </c>
      <c r="I162" s="28">
        <f>YEAR(T_Ventes[[#This Row],[Date facture]])</f>
        <v>2025</v>
      </c>
    </row>
    <row r="163" spans="1:9" x14ac:dyDescent="0.3">
      <c r="A163" s="23">
        <v>45765</v>
      </c>
      <c r="B163" s="24" t="s">
        <v>254</v>
      </c>
      <c r="C163" s="24" t="s">
        <v>68</v>
      </c>
      <c r="D163" s="24" t="s">
        <v>71</v>
      </c>
      <c r="E163" s="25">
        <v>6243.27</v>
      </c>
      <c r="F163" s="25">
        <v>3673.52</v>
      </c>
      <c r="G163" s="26">
        <f>T_Ventes[[#This Row],[CA HT]]-T_Ventes[[#This Row],[Coût achat HT]]</f>
        <v>2569.7500000000005</v>
      </c>
      <c r="H163" s="27">
        <f>DATE(YEAR(T_Ventes[[#This Row],[Date facture]]),MONTH(T_Ventes[[#This Row],[Date facture]]),1)</f>
        <v>45748</v>
      </c>
      <c r="I163" s="28">
        <f>YEAR(T_Ventes[[#This Row],[Date facture]])</f>
        <v>2025</v>
      </c>
    </row>
    <row r="164" spans="1:9" x14ac:dyDescent="0.3">
      <c r="A164" s="23">
        <v>45765</v>
      </c>
      <c r="B164" s="24" t="s">
        <v>255</v>
      </c>
      <c r="C164" s="24" t="s">
        <v>56</v>
      </c>
      <c r="D164" s="24" t="s">
        <v>59</v>
      </c>
      <c r="E164" s="25">
        <v>3923.28</v>
      </c>
      <c r="F164" s="25">
        <v>1446.97</v>
      </c>
      <c r="G164" s="26">
        <f>T_Ventes[[#This Row],[CA HT]]-T_Ventes[[#This Row],[Coût achat HT]]</f>
        <v>2476.3100000000004</v>
      </c>
      <c r="H164" s="27">
        <f>DATE(YEAR(T_Ventes[[#This Row],[Date facture]]),MONTH(T_Ventes[[#This Row],[Date facture]]),1)</f>
        <v>45748</v>
      </c>
      <c r="I164" s="28">
        <f>YEAR(T_Ventes[[#This Row],[Date facture]])</f>
        <v>2025</v>
      </c>
    </row>
    <row r="165" spans="1:9" x14ac:dyDescent="0.3">
      <c r="A165" s="23">
        <v>45767</v>
      </c>
      <c r="B165" s="24" t="s">
        <v>256</v>
      </c>
      <c r="C165" s="24" t="s">
        <v>66</v>
      </c>
      <c r="D165" s="24" t="s">
        <v>64</v>
      </c>
      <c r="E165" s="25">
        <v>6426.87</v>
      </c>
      <c r="F165" s="25">
        <v>4841.51</v>
      </c>
      <c r="G165" s="26">
        <f>T_Ventes[[#This Row],[CA HT]]-T_Ventes[[#This Row],[Coût achat HT]]</f>
        <v>1585.3599999999997</v>
      </c>
      <c r="H165" s="27">
        <f>DATE(YEAR(T_Ventes[[#This Row],[Date facture]]),MONTH(T_Ventes[[#This Row],[Date facture]]),1)</f>
        <v>45748</v>
      </c>
      <c r="I165" s="28">
        <f>YEAR(T_Ventes[[#This Row],[Date facture]])</f>
        <v>2025</v>
      </c>
    </row>
    <row r="166" spans="1:9" x14ac:dyDescent="0.3">
      <c r="A166" s="23">
        <v>45767</v>
      </c>
      <c r="B166" s="24" t="s">
        <v>257</v>
      </c>
      <c r="C166" s="24" t="s">
        <v>56</v>
      </c>
      <c r="D166" s="24" t="s">
        <v>57</v>
      </c>
      <c r="E166" s="25">
        <v>5689.89</v>
      </c>
      <c r="F166" s="25">
        <v>3753.46</v>
      </c>
      <c r="G166" s="26">
        <f>T_Ventes[[#This Row],[CA HT]]-T_Ventes[[#This Row],[Coût achat HT]]</f>
        <v>1936.4300000000003</v>
      </c>
      <c r="H166" s="27">
        <f>DATE(YEAR(T_Ventes[[#This Row],[Date facture]]),MONTH(T_Ventes[[#This Row],[Date facture]]),1)</f>
        <v>45748</v>
      </c>
      <c r="I166" s="28">
        <f>YEAR(T_Ventes[[#This Row],[Date facture]])</f>
        <v>2025</v>
      </c>
    </row>
    <row r="167" spans="1:9" x14ac:dyDescent="0.3">
      <c r="A167" s="23">
        <v>45768</v>
      </c>
      <c r="B167" s="24" t="s">
        <v>258</v>
      </c>
      <c r="C167" s="24" t="s">
        <v>162</v>
      </c>
      <c r="D167" s="24" t="s">
        <v>57</v>
      </c>
      <c r="E167" s="25">
        <v>4236.75</v>
      </c>
      <c r="F167" s="25">
        <v>2770.03</v>
      </c>
      <c r="G167" s="26">
        <f>T_Ventes[[#This Row],[CA HT]]-T_Ventes[[#This Row],[Coût achat HT]]</f>
        <v>1466.7199999999998</v>
      </c>
      <c r="H167" s="27">
        <f>DATE(YEAR(T_Ventes[[#This Row],[Date facture]]),MONTH(T_Ventes[[#This Row],[Date facture]]),1)</f>
        <v>45748</v>
      </c>
      <c r="I167" s="28">
        <f>YEAR(T_Ventes[[#This Row],[Date facture]])</f>
        <v>2025</v>
      </c>
    </row>
    <row r="168" spans="1:9" x14ac:dyDescent="0.3">
      <c r="A168" s="23">
        <v>45769</v>
      </c>
      <c r="B168" s="24" t="s">
        <v>259</v>
      </c>
      <c r="C168" s="24" t="s">
        <v>73</v>
      </c>
      <c r="D168" s="24" t="s">
        <v>57</v>
      </c>
      <c r="E168" s="25">
        <v>1243.3599999999999</v>
      </c>
      <c r="F168" s="25">
        <v>834.1</v>
      </c>
      <c r="G168" s="26">
        <f>T_Ventes[[#This Row],[CA HT]]-T_Ventes[[#This Row],[Coût achat HT]]</f>
        <v>409.25999999999988</v>
      </c>
      <c r="H168" s="27">
        <f>DATE(YEAR(T_Ventes[[#This Row],[Date facture]]),MONTH(T_Ventes[[#This Row],[Date facture]]),1)</f>
        <v>45748</v>
      </c>
      <c r="I168" s="28">
        <f>YEAR(T_Ventes[[#This Row],[Date facture]])</f>
        <v>2025</v>
      </c>
    </row>
    <row r="169" spans="1:9" x14ac:dyDescent="0.3">
      <c r="A169" s="23">
        <v>45770</v>
      </c>
      <c r="B169" s="24" t="s">
        <v>260</v>
      </c>
      <c r="C169" s="24" t="s">
        <v>115</v>
      </c>
      <c r="D169" s="24" t="s">
        <v>64</v>
      </c>
      <c r="E169" s="25">
        <v>4591.26</v>
      </c>
      <c r="F169" s="25">
        <v>3481.91</v>
      </c>
      <c r="G169" s="26">
        <f>T_Ventes[[#This Row],[CA HT]]-T_Ventes[[#This Row],[Coût achat HT]]</f>
        <v>1109.3500000000004</v>
      </c>
      <c r="H169" s="27">
        <f>DATE(YEAR(T_Ventes[[#This Row],[Date facture]]),MONTH(T_Ventes[[#This Row],[Date facture]]),1)</f>
        <v>45748</v>
      </c>
      <c r="I169" s="28">
        <f>YEAR(T_Ventes[[#This Row],[Date facture]])</f>
        <v>2025</v>
      </c>
    </row>
    <row r="170" spans="1:9" x14ac:dyDescent="0.3">
      <c r="A170" s="23">
        <v>45770</v>
      </c>
      <c r="B170" s="24" t="s">
        <v>261</v>
      </c>
      <c r="C170" s="24" t="s">
        <v>90</v>
      </c>
      <c r="D170" s="24" t="s">
        <v>64</v>
      </c>
      <c r="E170" s="25">
        <v>5804.15</v>
      </c>
      <c r="F170" s="25">
        <v>4398.75</v>
      </c>
      <c r="G170" s="26">
        <f>T_Ventes[[#This Row],[CA HT]]-T_Ventes[[#This Row],[Coût achat HT]]</f>
        <v>1405.3999999999996</v>
      </c>
      <c r="H170" s="27">
        <f>DATE(YEAR(T_Ventes[[#This Row],[Date facture]]),MONTH(T_Ventes[[#This Row],[Date facture]]),1)</f>
        <v>45748</v>
      </c>
      <c r="I170" s="28">
        <f>YEAR(T_Ventes[[#This Row],[Date facture]])</f>
        <v>2025</v>
      </c>
    </row>
    <row r="171" spans="1:9" x14ac:dyDescent="0.3">
      <c r="A171" s="23">
        <v>45770</v>
      </c>
      <c r="B171" s="24" t="s">
        <v>262</v>
      </c>
      <c r="C171" s="24" t="s">
        <v>90</v>
      </c>
      <c r="D171" s="24" t="s">
        <v>59</v>
      </c>
      <c r="E171" s="25">
        <v>3668.57</v>
      </c>
      <c r="F171" s="25">
        <v>1400.69</v>
      </c>
      <c r="G171" s="26">
        <f>T_Ventes[[#This Row],[CA HT]]-T_Ventes[[#This Row],[Coût achat HT]]</f>
        <v>2267.88</v>
      </c>
      <c r="H171" s="27">
        <f>DATE(YEAR(T_Ventes[[#This Row],[Date facture]]),MONTH(T_Ventes[[#This Row],[Date facture]]),1)</f>
        <v>45748</v>
      </c>
      <c r="I171" s="28">
        <f>YEAR(T_Ventes[[#This Row],[Date facture]])</f>
        <v>2025</v>
      </c>
    </row>
    <row r="172" spans="1:9" x14ac:dyDescent="0.3">
      <c r="A172" s="23">
        <v>45772</v>
      </c>
      <c r="B172" s="24" t="s">
        <v>263</v>
      </c>
      <c r="C172" s="24" t="s">
        <v>244</v>
      </c>
      <c r="D172" s="24" t="s">
        <v>57</v>
      </c>
      <c r="E172" s="25">
        <v>2391.75</v>
      </c>
      <c r="F172" s="25">
        <v>1539.44</v>
      </c>
      <c r="G172" s="26">
        <f>T_Ventes[[#This Row],[CA HT]]-T_Ventes[[#This Row],[Coût achat HT]]</f>
        <v>852.31</v>
      </c>
      <c r="H172" s="27">
        <f>DATE(YEAR(T_Ventes[[#This Row],[Date facture]]),MONTH(T_Ventes[[#This Row],[Date facture]]),1)</f>
        <v>45748</v>
      </c>
      <c r="I172" s="28">
        <f>YEAR(T_Ventes[[#This Row],[Date facture]])</f>
        <v>2025</v>
      </c>
    </row>
    <row r="173" spans="1:9" x14ac:dyDescent="0.3">
      <c r="A173" s="23">
        <v>45773</v>
      </c>
      <c r="B173" s="24" t="s">
        <v>264</v>
      </c>
      <c r="C173" s="24" t="s">
        <v>162</v>
      </c>
      <c r="D173" s="24" t="s">
        <v>71</v>
      </c>
      <c r="E173" s="25">
        <v>5167.8100000000004</v>
      </c>
      <c r="F173" s="25">
        <v>3147.63</v>
      </c>
      <c r="G173" s="26">
        <f>T_Ventes[[#This Row],[CA HT]]-T_Ventes[[#This Row],[Coût achat HT]]</f>
        <v>2020.1800000000003</v>
      </c>
      <c r="H173" s="27">
        <f>DATE(YEAR(T_Ventes[[#This Row],[Date facture]]),MONTH(T_Ventes[[#This Row],[Date facture]]),1)</f>
        <v>45748</v>
      </c>
      <c r="I173" s="28">
        <f>YEAR(T_Ventes[[#This Row],[Date facture]])</f>
        <v>2025</v>
      </c>
    </row>
    <row r="174" spans="1:9" x14ac:dyDescent="0.3">
      <c r="A174" s="23">
        <v>45773</v>
      </c>
      <c r="B174" s="24" t="s">
        <v>265</v>
      </c>
      <c r="C174" s="24" t="s">
        <v>115</v>
      </c>
      <c r="D174" s="24" t="s">
        <v>71</v>
      </c>
      <c r="E174" s="25">
        <v>6216.77</v>
      </c>
      <c r="F174" s="25">
        <v>3586.42</v>
      </c>
      <c r="G174" s="26">
        <f>T_Ventes[[#This Row],[CA HT]]-T_Ventes[[#This Row],[Coût achat HT]]</f>
        <v>2630.3500000000004</v>
      </c>
      <c r="H174" s="27">
        <f>DATE(YEAR(T_Ventes[[#This Row],[Date facture]]),MONTH(T_Ventes[[#This Row],[Date facture]]),1)</f>
        <v>45748</v>
      </c>
      <c r="I174" s="28">
        <f>YEAR(T_Ventes[[#This Row],[Date facture]])</f>
        <v>2025</v>
      </c>
    </row>
    <row r="175" spans="1:9" x14ac:dyDescent="0.3">
      <c r="A175" s="23">
        <v>45774</v>
      </c>
      <c r="B175" s="24" t="s">
        <v>266</v>
      </c>
      <c r="C175" s="24" t="s">
        <v>78</v>
      </c>
      <c r="D175" s="24" t="s">
        <v>71</v>
      </c>
      <c r="E175" s="25">
        <v>1980.73</v>
      </c>
      <c r="F175" s="25">
        <v>1162.71</v>
      </c>
      <c r="G175" s="26">
        <f>T_Ventes[[#This Row],[CA HT]]-T_Ventes[[#This Row],[Coût achat HT]]</f>
        <v>818.02</v>
      </c>
      <c r="H175" s="27">
        <f>DATE(YEAR(T_Ventes[[#This Row],[Date facture]]),MONTH(T_Ventes[[#This Row],[Date facture]]),1)</f>
        <v>45748</v>
      </c>
      <c r="I175" s="28">
        <f>YEAR(T_Ventes[[#This Row],[Date facture]])</f>
        <v>2025</v>
      </c>
    </row>
    <row r="176" spans="1:9" x14ac:dyDescent="0.3">
      <c r="A176" s="23">
        <v>45778</v>
      </c>
      <c r="B176" s="24" t="s">
        <v>267</v>
      </c>
      <c r="C176" s="24" t="s">
        <v>108</v>
      </c>
      <c r="D176" s="24" t="s">
        <v>64</v>
      </c>
      <c r="E176" s="25">
        <v>5386.22</v>
      </c>
      <c r="F176" s="25">
        <v>4098.67</v>
      </c>
      <c r="G176" s="26">
        <f>T_Ventes[[#This Row],[CA HT]]-T_Ventes[[#This Row],[Coût achat HT]]</f>
        <v>1287.5500000000002</v>
      </c>
      <c r="H176" s="27">
        <f>DATE(YEAR(T_Ventes[[#This Row],[Date facture]]),MONTH(T_Ventes[[#This Row],[Date facture]]),1)</f>
        <v>45778</v>
      </c>
      <c r="I176" s="28">
        <f>YEAR(T_Ventes[[#This Row],[Date facture]])</f>
        <v>2025</v>
      </c>
    </row>
    <row r="177" spans="1:9" x14ac:dyDescent="0.3">
      <c r="A177" s="23">
        <v>45778</v>
      </c>
      <c r="B177" s="24" t="s">
        <v>268</v>
      </c>
      <c r="C177" s="24" t="s">
        <v>70</v>
      </c>
      <c r="D177" s="24" t="s">
        <v>64</v>
      </c>
      <c r="E177" s="25">
        <v>1521.14</v>
      </c>
      <c r="F177" s="25">
        <v>1146.98</v>
      </c>
      <c r="G177" s="26">
        <f>T_Ventes[[#This Row],[CA HT]]-T_Ventes[[#This Row],[Coût achat HT]]</f>
        <v>374.16000000000008</v>
      </c>
      <c r="H177" s="27">
        <f>DATE(YEAR(T_Ventes[[#This Row],[Date facture]]),MONTH(T_Ventes[[#This Row],[Date facture]]),1)</f>
        <v>45778</v>
      </c>
      <c r="I177" s="28">
        <f>YEAR(T_Ventes[[#This Row],[Date facture]])</f>
        <v>2025</v>
      </c>
    </row>
    <row r="178" spans="1:9" x14ac:dyDescent="0.3">
      <c r="A178" s="23">
        <v>45779</v>
      </c>
      <c r="B178" s="24" t="s">
        <v>269</v>
      </c>
      <c r="C178" s="24" t="s">
        <v>80</v>
      </c>
      <c r="D178" s="24" t="s">
        <v>71</v>
      </c>
      <c r="E178" s="25">
        <v>2162.69</v>
      </c>
      <c r="F178" s="25">
        <v>1245.6500000000001</v>
      </c>
      <c r="G178" s="26">
        <f>T_Ventes[[#This Row],[CA HT]]-T_Ventes[[#This Row],[Coût achat HT]]</f>
        <v>917.04</v>
      </c>
      <c r="H178" s="27">
        <f>DATE(YEAR(T_Ventes[[#This Row],[Date facture]]),MONTH(T_Ventes[[#This Row],[Date facture]]),1)</f>
        <v>45778</v>
      </c>
      <c r="I178" s="28">
        <f>YEAR(T_Ventes[[#This Row],[Date facture]])</f>
        <v>2025</v>
      </c>
    </row>
    <row r="179" spans="1:9" x14ac:dyDescent="0.3">
      <c r="A179" s="23">
        <v>45780</v>
      </c>
      <c r="B179" s="24" t="s">
        <v>270</v>
      </c>
      <c r="C179" s="24" t="s">
        <v>73</v>
      </c>
      <c r="D179" s="24" t="s">
        <v>64</v>
      </c>
      <c r="E179" s="25">
        <v>4988.17</v>
      </c>
      <c r="F179" s="25">
        <v>3769.58</v>
      </c>
      <c r="G179" s="26">
        <f>T_Ventes[[#This Row],[CA HT]]-T_Ventes[[#This Row],[Coût achat HT]]</f>
        <v>1218.5900000000001</v>
      </c>
      <c r="H179" s="27">
        <f>DATE(YEAR(T_Ventes[[#This Row],[Date facture]]),MONTH(T_Ventes[[#This Row],[Date facture]]),1)</f>
        <v>45778</v>
      </c>
      <c r="I179" s="28">
        <f>YEAR(T_Ventes[[#This Row],[Date facture]])</f>
        <v>2025</v>
      </c>
    </row>
    <row r="180" spans="1:9" x14ac:dyDescent="0.3">
      <c r="A180" s="23">
        <v>45780</v>
      </c>
      <c r="B180" s="24" t="s">
        <v>271</v>
      </c>
      <c r="C180" s="24" t="s">
        <v>80</v>
      </c>
      <c r="D180" s="24" t="s">
        <v>64</v>
      </c>
      <c r="E180" s="25">
        <v>4205.3500000000004</v>
      </c>
      <c r="F180" s="25">
        <v>3159.68</v>
      </c>
      <c r="G180" s="26">
        <f>T_Ventes[[#This Row],[CA HT]]-T_Ventes[[#This Row],[Coût achat HT]]</f>
        <v>1045.6700000000005</v>
      </c>
      <c r="H180" s="27">
        <f>DATE(YEAR(T_Ventes[[#This Row],[Date facture]]),MONTH(T_Ventes[[#This Row],[Date facture]]),1)</f>
        <v>45778</v>
      </c>
      <c r="I180" s="28">
        <f>YEAR(T_Ventes[[#This Row],[Date facture]])</f>
        <v>2025</v>
      </c>
    </row>
    <row r="181" spans="1:9" x14ac:dyDescent="0.3">
      <c r="A181" s="23">
        <v>45780</v>
      </c>
      <c r="B181" s="24" t="s">
        <v>272</v>
      </c>
      <c r="C181" s="24" t="s">
        <v>80</v>
      </c>
      <c r="D181" s="24" t="s">
        <v>71</v>
      </c>
      <c r="E181" s="25">
        <v>3266.22</v>
      </c>
      <c r="F181" s="25">
        <v>1868.58</v>
      </c>
      <c r="G181" s="26">
        <f>T_Ventes[[#This Row],[CA HT]]-T_Ventes[[#This Row],[Coût achat HT]]</f>
        <v>1397.6399999999999</v>
      </c>
      <c r="H181" s="27">
        <f>DATE(YEAR(T_Ventes[[#This Row],[Date facture]]),MONTH(T_Ventes[[#This Row],[Date facture]]),1)</f>
        <v>45778</v>
      </c>
      <c r="I181" s="28">
        <f>YEAR(T_Ventes[[#This Row],[Date facture]])</f>
        <v>2025</v>
      </c>
    </row>
    <row r="182" spans="1:9" x14ac:dyDescent="0.3">
      <c r="A182" s="23">
        <v>45781</v>
      </c>
      <c r="B182" s="24" t="s">
        <v>273</v>
      </c>
      <c r="C182" s="24" t="s">
        <v>105</v>
      </c>
      <c r="D182" s="24" t="s">
        <v>57</v>
      </c>
      <c r="E182" s="25">
        <v>7002.93</v>
      </c>
      <c r="F182" s="25">
        <v>4600.37</v>
      </c>
      <c r="G182" s="26">
        <f>T_Ventes[[#This Row],[CA HT]]-T_Ventes[[#This Row],[Coût achat HT]]</f>
        <v>2402.5600000000004</v>
      </c>
      <c r="H182" s="27">
        <f>DATE(YEAR(T_Ventes[[#This Row],[Date facture]]),MONTH(T_Ventes[[#This Row],[Date facture]]),1)</f>
        <v>45778</v>
      </c>
      <c r="I182" s="28">
        <f>YEAR(T_Ventes[[#This Row],[Date facture]])</f>
        <v>2025</v>
      </c>
    </row>
    <row r="183" spans="1:9" x14ac:dyDescent="0.3">
      <c r="A183" s="23">
        <v>45782</v>
      </c>
      <c r="B183" s="24" t="s">
        <v>274</v>
      </c>
      <c r="C183" s="24" t="s">
        <v>56</v>
      </c>
      <c r="D183" s="24" t="s">
        <v>64</v>
      </c>
      <c r="E183" s="25">
        <v>2213.98</v>
      </c>
      <c r="F183" s="25">
        <v>1701.54</v>
      </c>
      <c r="G183" s="26">
        <f>T_Ventes[[#This Row],[CA HT]]-T_Ventes[[#This Row],[Coût achat HT]]</f>
        <v>512.44000000000005</v>
      </c>
      <c r="H183" s="27">
        <f>DATE(YEAR(T_Ventes[[#This Row],[Date facture]]),MONTH(T_Ventes[[#This Row],[Date facture]]),1)</f>
        <v>45778</v>
      </c>
      <c r="I183" s="28">
        <f>YEAR(T_Ventes[[#This Row],[Date facture]])</f>
        <v>2025</v>
      </c>
    </row>
    <row r="184" spans="1:9" x14ac:dyDescent="0.3">
      <c r="A184" s="23">
        <v>45783</v>
      </c>
      <c r="B184" s="24" t="s">
        <v>275</v>
      </c>
      <c r="C184" s="24" t="s">
        <v>90</v>
      </c>
      <c r="D184" s="24" t="s">
        <v>71</v>
      </c>
      <c r="E184" s="25">
        <v>4454.87</v>
      </c>
      <c r="F184" s="25">
        <v>2553.09</v>
      </c>
      <c r="G184" s="26">
        <f>T_Ventes[[#This Row],[CA HT]]-T_Ventes[[#This Row],[Coût achat HT]]</f>
        <v>1901.7799999999997</v>
      </c>
      <c r="H184" s="27">
        <f>DATE(YEAR(T_Ventes[[#This Row],[Date facture]]),MONTH(T_Ventes[[#This Row],[Date facture]]),1)</f>
        <v>45778</v>
      </c>
      <c r="I184" s="28">
        <f>YEAR(T_Ventes[[#This Row],[Date facture]])</f>
        <v>2025</v>
      </c>
    </row>
    <row r="185" spans="1:9" x14ac:dyDescent="0.3">
      <c r="A185" s="23">
        <v>45784</v>
      </c>
      <c r="B185" s="24" t="s">
        <v>276</v>
      </c>
      <c r="C185" s="24" t="s">
        <v>208</v>
      </c>
      <c r="D185" s="24" t="s">
        <v>64</v>
      </c>
      <c r="E185" s="25">
        <v>2383.81</v>
      </c>
      <c r="F185" s="25">
        <v>1833.67</v>
      </c>
      <c r="G185" s="26">
        <f>T_Ventes[[#This Row],[CA HT]]-T_Ventes[[#This Row],[Coût achat HT]]</f>
        <v>550.13999999999987</v>
      </c>
      <c r="H185" s="27">
        <f>DATE(YEAR(T_Ventes[[#This Row],[Date facture]]),MONTH(T_Ventes[[#This Row],[Date facture]]),1)</f>
        <v>45778</v>
      </c>
      <c r="I185" s="28">
        <f>YEAR(T_Ventes[[#This Row],[Date facture]])</f>
        <v>2025</v>
      </c>
    </row>
    <row r="186" spans="1:9" x14ac:dyDescent="0.3">
      <c r="A186" s="23">
        <v>45784</v>
      </c>
      <c r="B186" s="24" t="s">
        <v>277</v>
      </c>
      <c r="C186" s="24" t="s">
        <v>66</v>
      </c>
      <c r="D186" s="24" t="s">
        <v>57</v>
      </c>
      <c r="E186" s="25">
        <v>3213.08</v>
      </c>
      <c r="F186" s="25">
        <v>2171.54</v>
      </c>
      <c r="G186" s="26">
        <f>T_Ventes[[#This Row],[CA HT]]-T_Ventes[[#This Row],[Coût achat HT]]</f>
        <v>1041.54</v>
      </c>
      <c r="H186" s="27">
        <f>DATE(YEAR(T_Ventes[[#This Row],[Date facture]]),MONTH(T_Ventes[[#This Row],[Date facture]]),1)</f>
        <v>45778</v>
      </c>
      <c r="I186" s="28">
        <f>YEAR(T_Ventes[[#This Row],[Date facture]])</f>
        <v>2025</v>
      </c>
    </row>
    <row r="187" spans="1:9" x14ac:dyDescent="0.3">
      <c r="A187" s="23">
        <v>45784</v>
      </c>
      <c r="B187" s="24" t="s">
        <v>278</v>
      </c>
      <c r="C187" s="24" t="s">
        <v>56</v>
      </c>
      <c r="D187" s="24" t="s">
        <v>71</v>
      </c>
      <c r="E187" s="25">
        <v>2524.62</v>
      </c>
      <c r="F187" s="25">
        <v>1463.47</v>
      </c>
      <c r="G187" s="26">
        <f>T_Ventes[[#This Row],[CA HT]]-T_Ventes[[#This Row],[Coût achat HT]]</f>
        <v>1061.1499999999999</v>
      </c>
      <c r="H187" s="27">
        <f>DATE(YEAR(T_Ventes[[#This Row],[Date facture]]),MONTH(T_Ventes[[#This Row],[Date facture]]),1)</f>
        <v>45778</v>
      </c>
      <c r="I187" s="28">
        <f>YEAR(T_Ventes[[#This Row],[Date facture]])</f>
        <v>2025</v>
      </c>
    </row>
    <row r="188" spans="1:9" x14ac:dyDescent="0.3">
      <c r="A188" s="23">
        <v>45785</v>
      </c>
      <c r="B188" s="24" t="s">
        <v>279</v>
      </c>
      <c r="C188" s="24" t="s">
        <v>70</v>
      </c>
      <c r="D188" s="24" t="s">
        <v>64</v>
      </c>
      <c r="E188" s="25">
        <v>6089.13</v>
      </c>
      <c r="F188" s="25">
        <v>4634.17</v>
      </c>
      <c r="G188" s="26">
        <f>T_Ventes[[#This Row],[CA HT]]-T_Ventes[[#This Row],[Coût achat HT]]</f>
        <v>1454.96</v>
      </c>
      <c r="H188" s="27">
        <f>DATE(YEAR(T_Ventes[[#This Row],[Date facture]]),MONTH(T_Ventes[[#This Row],[Date facture]]),1)</f>
        <v>45778</v>
      </c>
      <c r="I188" s="28">
        <f>YEAR(T_Ventes[[#This Row],[Date facture]])</f>
        <v>2025</v>
      </c>
    </row>
    <row r="189" spans="1:9" x14ac:dyDescent="0.3">
      <c r="A189" s="23">
        <v>45786</v>
      </c>
      <c r="B189" s="24" t="s">
        <v>280</v>
      </c>
      <c r="C189" s="24" t="s">
        <v>115</v>
      </c>
      <c r="D189" s="24" t="s">
        <v>64</v>
      </c>
      <c r="E189" s="25">
        <v>3300.91</v>
      </c>
      <c r="F189" s="25">
        <v>2519.37</v>
      </c>
      <c r="G189" s="26">
        <f>T_Ventes[[#This Row],[CA HT]]-T_Ventes[[#This Row],[Coût achat HT]]</f>
        <v>781.54</v>
      </c>
      <c r="H189" s="27">
        <f>DATE(YEAR(T_Ventes[[#This Row],[Date facture]]),MONTH(T_Ventes[[#This Row],[Date facture]]),1)</f>
        <v>45778</v>
      </c>
      <c r="I189" s="28">
        <f>YEAR(T_Ventes[[#This Row],[Date facture]])</f>
        <v>2025</v>
      </c>
    </row>
    <row r="190" spans="1:9" x14ac:dyDescent="0.3">
      <c r="A190" s="23">
        <v>45786</v>
      </c>
      <c r="B190" s="24" t="s">
        <v>281</v>
      </c>
      <c r="C190" s="24" t="s">
        <v>139</v>
      </c>
      <c r="D190" s="24" t="s">
        <v>64</v>
      </c>
      <c r="E190" s="25">
        <v>1932.53</v>
      </c>
      <c r="F190" s="25">
        <v>1469.27</v>
      </c>
      <c r="G190" s="26">
        <f>T_Ventes[[#This Row],[CA HT]]-T_Ventes[[#This Row],[Coût achat HT]]</f>
        <v>463.26</v>
      </c>
      <c r="H190" s="27">
        <f>DATE(YEAR(T_Ventes[[#This Row],[Date facture]]),MONTH(T_Ventes[[#This Row],[Date facture]]),1)</f>
        <v>45778</v>
      </c>
      <c r="I190" s="28">
        <f>YEAR(T_Ventes[[#This Row],[Date facture]])</f>
        <v>2025</v>
      </c>
    </row>
    <row r="191" spans="1:9" x14ac:dyDescent="0.3">
      <c r="A191" s="23">
        <v>45786</v>
      </c>
      <c r="B191" s="24" t="s">
        <v>282</v>
      </c>
      <c r="C191" s="24" t="s">
        <v>70</v>
      </c>
      <c r="D191" s="24" t="s">
        <v>64</v>
      </c>
      <c r="E191" s="25">
        <v>6213.92</v>
      </c>
      <c r="F191" s="25">
        <v>4785.3900000000003</v>
      </c>
      <c r="G191" s="26">
        <f>T_Ventes[[#This Row],[CA HT]]-T_Ventes[[#This Row],[Coût achat HT]]</f>
        <v>1428.5299999999997</v>
      </c>
      <c r="H191" s="27">
        <f>DATE(YEAR(T_Ventes[[#This Row],[Date facture]]),MONTH(T_Ventes[[#This Row],[Date facture]]),1)</f>
        <v>45778</v>
      </c>
      <c r="I191" s="28">
        <f>YEAR(T_Ventes[[#This Row],[Date facture]])</f>
        <v>2025</v>
      </c>
    </row>
    <row r="192" spans="1:9" x14ac:dyDescent="0.3">
      <c r="A192" s="23">
        <v>45788</v>
      </c>
      <c r="B192" s="24" t="s">
        <v>283</v>
      </c>
      <c r="C192" s="24" t="s">
        <v>56</v>
      </c>
      <c r="D192" s="24" t="s">
        <v>64</v>
      </c>
      <c r="E192" s="25">
        <v>5984.87</v>
      </c>
      <c r="F192" s="25">
        <v>4605.22</v>
      </c>
      <c r="G192" s="26">
        <f>T_Ventes[[#This Row],[CA HT]]-T_Ventes[[#This Row],[Coût achat HT]]</f>
        <v>1379.6499999999996</v>
      </c>
      <c r="H192" s="27">
        <f>DATE(YEAR(T_Ventes[[#This Row],[Date facture]]),MONTH(T_Ventes[[#This Row],[Date facture]]),1)</f>
        <v>45778</v>
      </c>
      <c r="I192" s="28">
        <f>YEAR(T_Ventes[[#This Row],[Date facture]])</f>
        <v>2025</v>
      </c>
    </row>
    <row r="193" spans="1:9" x14ac:dyDescent="0.3">
      <c r="A193" s="23">
        <v>45788</v>
      </c>
      <c r="B193" s="24" t="s">
        <v>284</v>
      </c>
      <c r="C193" s="24" t="s">
        <v>66</v>
      </c>
      <c r="D193" s="24" t="s">
        <v>57</v>
      </c>
      <c r="E193" s="25">
        <v>2025.79</v>
      </c>
      <c r="F193" s="25">
        <v>1337.78</v>
      </c>
      <c r="G193" s="26">
        <f>T_Ventes[[#This Row],[CA HT]]-T_Ventes[[#This Row],[Coût achat HT]]</f>
        <v>688.01</v>
      </c>
      <c r="H193" s="27">
        <f>DATE(YEAR(T_Ventes[[#This Row],[Date facture]]),MONTH(T_Ventes[[#This Row],[Date facture]]),1)</f>
        <v>45778</v>
      </c>
      <c r="I193" s="28">
        <f>YEAR(T_Ventes[[#This Row],[Date facture]])</f>
        <v>2025</v>
      </c>
    </row>
    <row r="194" spans="1:9" x14ac:dyDescent="0.3">
      <c r="A194" s="23">
        <v>45789</v>
      </c>
      <c r="B194" s="24" t="s">
        <v>285</v>
      </c>
      <c r="C194" s="24" t="s">
        <v>128</v>
      </c>
      <c r="D194" s="24" t="s">
        <v>57</v>
      </c>
      <c r="E194" s="25">
        <v>5642.83</v>
      </c>
      <c r="F194" s="25">
        <v>3720.43</v>
      </c>
      <c r="G194" s="26">
        <f>T_Ventes[[#This Row],[CA HT]]-T_Ventes[[#This Row],[Coût achat HT]]</f>
        <v>1922.4</v>
      </c>
      <c r="H194" s="27">
        <f>DATE(YEAR(T_Ventes[[#This Row],[Date facture]]),MONTH(T_Ventes[[#This Row],[Date facture]]),1)</f>
        <v>45778</v>
      </c>
      <c r="I194" s="28">
        <f>YEAR(T_Ventes[[#This Row],[Date facture]])</f>
        <v>2025</v>
      </c>
    </row>
    <row r="195" spans="1:9" x14ac:dyDescent="0.3">
      <c r="A195" s="23">
        <v>45790</v>
      </c>
      <c r="B195" s="24" t="s">
        <v>286</v>
      </c>
      <c r="C195" s="24" t="s">
        <v>80</v>
      </c>
      <c r="D195" s="24" t="s">
        <v>57</v>
      </c>
      <c r="E195" s="25">
        <v>5082.0200000000004</v>
      </c>
      <c r="F195" s="25">
        <v>3291.72</v>
      </c>
      <c r="G195" s="26">
        <f>T_Ventes[[#This Row],[CA HT]]-T_Ventes[[#This Row],[Coût achat HT]]</f>
        <v>1790.3000000000006</v>
      </c>
      <c r="H195" s="27">
        <f>DATE(YEAR(T_Ventes[[#This Row],[Date facture]]),MONTH(T_Ventes[[#This Row],[Date facture]]),1)</f>
        <v>45778</v>
      </c>
      <c r="I195" s="28">
        <f>YEAR(T_Ventes[[#This Row],[Date facture]])</f>
        <v>2025</v>
      </c>
    </row>
    <row r="196" spans="1:9" x14ac:dyDescent="0.3">
      <c r="A196" s="23">
        <v>45791</v>
      </c>
      <c r="B196" s="24" t="s">
        <v>287</v>
      </c>
      <c r="C196" s="24" t="s">
        <v>56</v>
      </c>
      <c r="D196" s="24" t="s">
        <v>64</v>
      </c>
      <c r="E196" s="25">
        <v>5299.41</v>
      </c>
      <c r="F196" s="25">
        <v>3967.65</v>
      </c>
      <c r="G196" s="26">
        <f>T_Ventes[[#This Row],[CA HT]]-T_Ventes[[#This Row],[Coût achat HT]]</f>
        <v>1331.7599999999998</v>
      </c>
      <c r="H196" s="27">
        <f>DATE(YEAR(T_Ventes[[#This Row],[Date facture]]),MONTH(T_Ventes[[#This Row],[Date facture]]),1)</f>
        <v>45778</v>
      </c>
      <c r="I196" s="28">
        <f>YEAR(T_Ventes[[#This Row],[Date facture]])</f>
        <v>2025</v>
      </c>
    </row>
    <row r="197" spans="1:9" x14ac:dyDescent="0.3">
      <c r="A197" s="23">
        <v>45791</v>
      </c>
      <c r="B197" s="24" t="s">
        <v>288</v>
      </c>
      <c r="C197" s="24" t="s">
        <v>87</v>
      </c>
      <c r="D197" s="24" t="s">
        <v>57</v>
      </c>
      <c r="E197" s="25">
        <v>6949.51</v>
      </c>
      <c r="F197" s="25">
        <v>4567.6899999999996</v>
      </c>
      <c r="G197" s="26">
        <f>T_Ventes[[#This Row],[CA HT]]-T_Ventes[[#This Row],[Coût achat HT]]</f>
        <v>2381.8200000000006</v>
      </c>
      <c r="H197" s="27">
        <f>DATE(YEAR(T_Ventes[[#This Row],[Date facture]]),MONTH(T_Ventes[[#This Row],[Date facture]]),1)</f>
        <v>45778</v>
      </c>
      <c r="I197" s="28">
        <f>YEAR(T_Ventes[[#This Row],[Date facture]])</f>
        <v>2025</v>
      </c>
    </row>
    <row r="198" spans="1:9" x14ac:dyDescent="0.3">
      <c r="A198" s="23">
        <v>45792</v>
      </c>
      <c r="B198" s="24" t="s">
        <v>289</v>
      </c>
      <c r="C198" s="24" t="s">
        <v>73</v>
      </c>
      <c r="D198" s="24" t="s">
        <v>64</v>
      </c>
      <c r="E198" s="25">
        <v>3242.73</v>
      </c>
      <c r="F198" s="25">
        <v>2439.11</v>
      </c>
      <c r="G198" s="26">
        <f>T_Ventes[[#This Row],[CA HT]]-T_Ventes[[#This Row],[Coût achat HT]]</f>
        <v>803.61999999999989</v>
      </c>
      <c r="H198" s="27">
        <f>DATE(YEAR(T_Ventes[[#This Row],[Date facture]]),MONTH(T_Ventes[[#This Row],[Date facture]]),1)</f>
        <v>45778</v>
      </c>
      <c r="I198" s="28">
        <f>YEAR(T_Ventes[[#This Row],[Date facture]])</f>
        <v>2025</v>
      </c>
    </row>
    <row r="199" spans="1:9" x14ac:dyDescent="0.3">
      <c r="A199" s="23">
        <v>45792</v>
      </c>
      <c r="B199" s="24" t="s">
        <v>290</v>
      </c>
      <c r="C199" s="24" t="s">
        <v>105</v>
      </c>
      <c r="D199" s="24" t="s">
        <v>64</v>
      </c>
      <c r="E199" s="25">
        <v>6091.75</v>
      </c>
      <c r="F199" s="25">
        <v>4646.3599999999997</v>
      </c>
      <c r="G199" s="26">
        <f>T_Ventes[[#This Row],[CA HT]]-T_Ventes[[#This Row],[Coût achat HT]]</f>
        <v>1445.3900000000003</v>
      </c>
      <c r="H199" s="27">
        <f>DATE(YEAR(T_Ventes[[#This Row],[Date facture]]),MONTH(T_Ventes[[#This Row],[Date facture]]),1)</f>
        <v>45778</v>
      </c>
      <c r="I199" s="28">
        <f>YEAR(T_Ventes[[#This Row],[Date facture]])</f>
        <v>2025</v>
      </c>
    </row>
    <row r="200" spans="1:9" x14ac:dyDescent="0.3">
      <c r="A200" s="23">
        <v>45792</v>
      </c>
      <c r="B200" s="24" t="s">
        <v>291</v>
      </c>
      <c r="C200" s="24" t="s">
        <v>292</v>
      </c>
      <c r="D200" s="24" t="s">
        <v>57</v>
      </c>
      <c r="E200" s="25">
        <v>4250.75</v>
      </c>
      <c r="F200" s="25">
        <v>2835.17</v>
      </c>
      <c r="G200" s="26">
        <f>T_Ventes[[#This Row],[CA HT]]-T_Ventes[[#This Row],[Coût achat HT]]</f>
        <v>1415.58</v>
      </c>
      <c r="H200" s="27">
        <f>DATE(YEAR(T_Ventes[[#This Row],[Date facture]]),MONTH(T_Ventes[[#This Row],[Date facture]]),1)</f>
        <v>45778</v>
      </c>
      <c r="I200" s="28">
        <f>YEAR(T_Ventes[[#This Row],[Date facture]])</f>
        <v>2025</v>
      </c>
    </row>
    <row r="201" spans="1:9" x14ac:dyDescent="0.3">
      <c r="A201" s="23">
        <v>45792</v>
      </c>
      <c r="B201" s="24" t="s">
        <v>293</v>
      </c>
      <c r="C201" s="24" t="s">
        <v>63</v>
      </c>
      <c r="D201" s="24" t="s">
        <v>71</v>
      </c>
      <c r="E201" s="25">
        <v>4744.1400000000003</v>
      </c>
      <c r="F201" s="25">
        <v>2889.38</v>
      </c>
      <c r="G201" s="26">
        <f>T_Ventes[[#This Row],[CA HT]]-T_Ventes[[#This Row],[Coût achat HT]]</f>
        <v>1854.7600000000002</v>
      </c>
      <c r="H201" s="27">
        <f>DATE(YEAR(T_Ventes[[#This Row],[Date facture]]),MONTH(T_Ventes[[#This Row],[Date facture]]),1)</f>
        <v>45778</v>
      </c>
      <c r="I201" s="28">
        <f>YEAR(T_Ventes[[#This Row],[Date facture]])</f>
        <v>2025</v>
      </c>
    </row>
    <row r="202" spans="1:9" x14ac:dyDescent="0.3">
      <c r="A202" s="23">
        <v>45793</v>
      </c>
      <c r="B202" s="24" t="s">
        <v>294</v>
      </c>
      <c r="C202" s="24" t="s">
        <v>90</v>
      </c>
      <c r="D202" s="24" t="s">
        <v>57</v>
      </c>
      <c r="E202" s="25">
        <v>5812.55</v>
      </c>
      <c r="F202" s="25">
        <v>3836.49</v>
      </c>
      <c r="G202" s="26">
        <f>T_Ventes[[#This Row],[CA HT]]-T_Ventes[[#This Row],[Coût achat HT]]</f>
        <v>1976.0600000000004</v>
      </c>
      <c r="H202" s="27">
        <f>DATE(YEAR(T_Ventes[[#This Row],[Date facture]]),MONTH(T_Ventes[[#This Row],[Date facture]]),1)</f>
        <v>45778</v>
      </c>
      <c r="I202" s="28">
        <f>YEAR(T_Ventes[[#This Row],[Date facture]])</f>
        <v>2025</v>
      </c>
    </row>
    <row r="203" spans="1:9" x14ac:dyDescent="0.3">
      <c r="A203" s="23">
        <v>45793</v>
      </c>
      <c r="B203" s="24" t="s">
        <v>295</v>
      </c>
      <c r="C203" s="24" t="s">
        <v>56</v>
      </c>
      <c r="D203" s="24" t="s">
        <v>71</v>
      </c>
      <c r="E203" s="25">
        <v>4709.01</v>
      </c>
      <c r="F203" s="25">
        <v>2857.26</v>
      </c>
      <c r="G203" s="26">
        <f>T_Ventes[[#This Row],[CA HT]]-T_Ventes[[#This Row],[Coût achat HT]]</f>
        <v>1851.75</v>
      </c>
      <c r="H203" s="27">
        <f>DATE(YEAR(T_Ventes[[#This Row],[Date facture]]),MONTH(T_Ventes[[#This Row],[Date facture]]),1)</f>
        <v>45778</v>
      </c>
      <c r="I203" s="28">
        <f>YEAR(T_Ventes[[#This Row],[Date facture]])</f>
        <v>2025</v>
      </c>
    </row>
    <row r="204" spans="1:9" x14ac:dyDescent="0.3">
      <c r="A204" s="23">
        <v>45794</v>
      </c>
      <c r="B204" s="24" t="s">
        <v>296</v>
      </c>
      <c r="C204" s="24" t="s">
        <v>166</v>
      </c>
      <c r="D204" s="24" t="s">
        <v>64</v>
      </c>
      <c r="E204" s="25">
        <v>3249.01</v>
      </c>
      <c r="F204" s="25">
        <v>2434.44</v>
      </c>
      <c r="G204" s="26">
        <f>T_Ventes[[#This Row],[CA HT]]-T_Ventes[[#This Row],[Coût achat HT]]</f>
        <v>814.57000000000016</v>
      </c>
      <c r="H204" s="27">
        <f>DATE(YEAR(T_Ventes[[#This Row],[Date facture]]),MONTH(T_Ventes[[#This Row],[Date facture]]),1)</f>
        <v>45778</v>
      </c>
      <c r="I204" s="28">
        <f>YEAR(T_Ventes[[#This Row],[Date facture]])</f>
        <v>2025</v>
      </c>
    </row>
    <row r="205" spans="1:9" x14ac:dyDescent="0.3">
      <c r="A205" s="23">
        <v>45794</v>
      </c>
      <c r="B205" s="24" t="s">
        <v>297</v>
      </c>
      <c r="C205" s="24" t="s">
        <v>105</v>
      </c>
      <c r="D205" s="24" t="s">
        <v>59</v>
      </c>
      <c r="E205" s="25">
        <v>4442.54</v>
      </c>
      <c r="F205" s="25">
        <v>1760.33</v>
      </c>
      <c r="G205" s="26">
        <f>T_Ventes[[#This Row],[CA HT]]-T_Ventes[[#This Row],[Coût achat HT]]</f>
        <v>2682.21</v>
      </c>
      <c r="H205" s="27">
        <f>DATE(YEAR(T_Ventes[[#This Row],[Date facture]]),MONTH(T_Ventes[[#This Row],[Date facture]]),1)</f>
        <v>45778</v>
      </c>
      <c r="I205" s="28">
        <f>YEAR(T_Ventes[[#This Row],[Date facture]])</f>
        <v>2025</v>
      </c>
    </row>
    <row r="206" spans="1:9" x14ac:dyDescent="0.3">
      <c r="A206" s="23">
        <v>45795</v>
      </c>
      <c r="B206" s="24" t="s">
        <v>298</v>
      </c>
      <c r="C206" s="24" t="s">
        <v>66</v>
      </c>
      <c r="D206" s="24" t="s">
        <v>59</v>
      </c>
      <c r="E206" s="25">
        <v>7183.5</v>
      </c>
      <c r="F206" s="25">
        <v>2913.47</v>
      </c>
      <c r="G206" s="26">
        <f>T_Ventes[[#This Row],[CA HT]]-T_Ventes[[#This Row],[Coût achat HT]]</f>
        <v>4270.0300000000007</v>
      </c>
      <c r="H206" s="27">
        <f>DATE(YEAR(T_Ventes[[#This Row],[Date facture]]),MONTH(T_Ventes[[#This Row],[Date facture]]),1)</f>
        <v>45778</v>
      </c>
      <c r="I206" s="28">
        <f>YEAR(T_Ventes[[#This Row],[Date facture]])</f>
        <v>2025</v>
      </c>
    </row>
    <row r="207" spans="1:9" x14ac:dyDescent="0.3">
      <c r="A207" s="23">
        <v>45796</v>
      </c>
      <c r="B207" s="24" t="s">
        <v>299</v>
      </c>
      <c r="C207" s="24" t="s">
        <v>56</v>
      </c>
      <c r="D207" s="24" t="s">
        <v>64</v>
      </c>
      <c r="E207" s="25">
        <v>4718.55</v>
      </c>
      <c r="F207" s="25">
        <v>3582.97</v>
      </c>
      <c r="G207" s="26">
        <f>T_Ventes[[#This Row],[CA HT]]-T_Ventes[[#This Row],[Coût achat HT]]</f>
        <v>1135.5800000000004</v>
      </c>
      <c r="H207" s="27">
        <f>DATE(YEAR(T_Ventes[[#This Row],[Date facture]]),MONTH(T_Ventes[[#This Row],[Date facture]]),1)</f>
        <v>45778</v>
      </c>
      <c r="I207" s="28">
        <f>YEAR(T_Ventes[[#This Row],[Date facture]])</f>
        <v>2025</v>
      </c>
    </row>
    <row r="208" spans="1:9" x14ac:dyDescent="0.3">
      <c r="A208" s="23">
        <v>45797</v>
      </c>
      <c r="B208" s="24" t="s">
        <v>300</v>
      </c>
      <c r="C208" s="24" t="s">
        <v>68</v>
      </c>
      <c r="D208" s="24" t="s">
        <v>64</v>
      </c>
      <c r="E208" s="25">
        <v>2151.73</v>
      </c>
      <c r="F208" s="25">
        <v>1658.64</v>
      </c>
      <c r="G208" s="26">
        <f>T_Ventes[[#This Row],[CA HT]]-T_Ventes[[#This Row],[Coût achat HT]]</f>
        <v>493.08999999999992</v>
      </c>
      <c r="H208" s="27">
        <f>DATE(YEAR(T_Ventes[[#This Row],[Date facture]]),MONTH(T_Ventes[[#This Row],[Date facture]]),1)</f>
        <v>45778</v>
      </c>
      <c r="I208" s="28">
        <f>YEAR(T_Ventes[[#This Row],[Date facture]])</f>
        <v>2025</v>
      </c>
    </row>
    <row r="209" spans="1:9" x14ac:dyDescent="0.3">
      <c r="A209" s="23">
        <v>45797</v>
      </c>
      <c r="B209" s="24" t="s">
        <v>301</v>
      </c>
      <c r="C209" s="24" t="s">
        <v>108</v>
      </c>
      <c r="D209" s="24" t="s">
        <v>64</v>
      </c>
      <c r="E209" s="25">
        <v>3339.2</v>
      </c>
      <c r="F209" s="25">
        <v>2576.1</v>
      </c>
      <c r="G209" s="26">
        <f>T_Ventes[[#This Row],[CA HT]]-T_Ventes[[#This Row],[Coût achat HT]]</f>
        <v>763.09999999999991</v>
      </c>
      <c r="H209" s="27">
        <f>DATE(YEAR(T_Ventes[[#This Row],[Date facture]]),MONTH(T_Ventes[[#This Row],[Date facture]]),1)</f>
        <v>45778</v>
      </c>
      <c r="I209" s="28">
        <f>YEAR(T_Ventes[[#This Row],[Date facture]])</f>
        <v>2025</v>
      </c>
    </row>
    <row r="210" spans="1:9" x14ac:dyDescent="0.3">
      <c r="A210" s="23">
        <v>45797</v>
      </c>
      <c r="B210" s="24" t="s">
        <v>302</v>
      </c>
      <c r="C210" s="24" t="s">
        <v>80</v>
      </c>
      <c r="D210" s="24" t="s">
        <v>57</v>
      </c>
      <c r="E210" s="25">
        <v>7375.55</v>
      </c>
      <c r="F210" s="25">
        <v>4945.95</v>
      </c>
      <c r="G210" s="26">
        <f>T_Ventes[[#This Row],[CA HT]]-T_Ventes[[#This Row],[Coût achat HT]]</f>
        <v>2429.6000000000004</v>
      </c>
      <c r="H210" s="27">
        <f>DATE(YEAR(T_Ventes[[#This Row],[Date facture]]),MONTH(T_Ventes[[#This Row],[Date facture]]),1)</f>
        <v>45778</v>
      </c>
      <c r="I210" s="28">
        <f>YEAR(T_Ventes[[#This Row],[Date facture]])</f>
        <v>2025</v>
      </c>
    </row>
    <row r="211" spans="1:9" x14ac:dyDescent="0.3">
      <c r="A211" s="23">
        <v>45798</v>
      </c>
      <c r="B211" s="24" t="s">
        <v>303</v>
      </c>
      <c r="C211" s="24" t="s">
        <v>76</v>
      </c>
      <c r="D211" s="24" t="s">
        <v>64</v>
      </c>
      <c r="E211" s="25">
        <v>2040.23</v>
      </c>
      <c r="F211" s="25">
        <v>1531.01</v>
      </c>
      <c r="G211" s="26">
        <f>T_Ventes[[#This Row],[CA HT]]-T_Ventes[[#This Row],[Coût achat HT]]</f>
        <v>509.22</v>
      </c>
      <c r="H211" s="27">
        <f>DATE(YEAR(T_Ventes[[#This Row],[Date facture]]),MONTH(T_Ventes[[#This Row],[Date facture]]),1)</f>
        <v>45778</v>
      </c>
      <c r="I211" s="28">
        <f>YEAR(T_Ventes[[#This Row],[Date facture]])</f>
        <v>2025</v>
      </c>
    </row>
    <row r="212" spans="1:9" x14ac:dyDescent="0.3">
      <c r="A212" s="23">
        <v>45798</v>
      </c>
      <c r="B212" s="24" t="s">
        <v>304</v>
      </c>
      <c r="C212" s="24" t="s">
        <v>173</v>
      </c>
      <c r="D212" s="24" t="s">
        <v>64</v>
      </c>
      <c r="E212" s="25">
        <v>3247.25</v>
      </c>
      <c r="F212" s="25">
        <v>2457.4499999999998</v>
      </c>
      <c r="G212" s="26">
        <f>T_Ventes[[#This Row],[CA HT]]-T_Ventes[[#This Row],[Coût achat HT]]</f>
        <v>789.80000000000018</v>
      </c>
      <c r="H212" s="27">
        <f>DATE(YEAR(T_Ventes[[#This Row],[Date facture]]),MONTH(T_Ventes[[#This Row],[Date facture]]),1)</f>
        <v>45778</v>
      </c>
      <c r="I212" s="28">
        <f>YEAR(T_Ventes[[#This Row],[Date facture]])</f>
        <v>2025</v>
      </c>
    </row>
    <row r="213" spans="1:9" x14ac:dyDescent="0.3">
      <c r="A213" s="23">
        <v>45798</v>
      </c>
      <c r="B213" s="24" t="s">
        <v>305</v>
      </c>
      <c r="C213" s="24" t="s">
        <v>78</v>
      </c>
      <c r="D213" s="24" t="s">
        <v>64</v>
      </c>
      <c r="E213" s="25">
        <v>4323.8999999999996</v>
      </c>
      <c r="F213" s="25">
        <v>3238.49</v>
      </c>
      <c r="G213" s="26">
        <f>T_Ventes[[#This Row],[CA HT]]-T_Ventes[[#This Row],[Coût achat HT]]</f>
        <v>1085.4099999999999</v>
      </c>
      <c r="H213" s="27">
        <f>DATE(YEAR(T_Ventes[[#This Row],[Date facture]]),MONTH(T_Ventes[[#This Row],[Date facture]]),1)</f>
        <v>45778</v>
      </c>
      <c r="I213" s="28">
        <f>YEAR(T_Ventes[[#This Row],[Date facture]])</f>
        <v>2025</v>
      </c>
    </row>
    <row r="214" spans="1:9" x14ac:dyDescent="0.3">
      <c r="A214" s="23">
        <v>45798</v>
      </c>
      <c r="B214" s="24" t="s">
        <v>306</v>
      </c>
      <c r="C214" s="24" t="s">
        <v>100</v>
      </c>
      <c r="D214" s="24" t="s">
        <v>71</v>
      </c>
      <c r="E214" s="25">
        <v>2395.25</v>
      </c>
      <c r="F214" s="25">
        <v>1368.32</v>
      </c>
      <c r="G214" s="26">
        <f>T_Ventes[[#This Row],[CA HT]]-T_Ventes[[#This Row],[Coût achat HT]]</f>
        <v>1026.93</v>
      </c>
      <c r="H214" s="27">
        <f>DATE(YEAR(T_Ventes[[#This Row],[Date facture]]),MONTH(T_Ventes[[#This Row],[Date facture]]),1)</f>
        <v>45778</v>
      </c>
      <c r="I214" s="28">
        <f>YEAR(T_Ventes[[#This Row],[Date facture]])</f>
        <v>2025</v>
      </c>
    </row>
    <row r="215" spans="1:9" x14ac:dyDescent="0.3">
      <c r="A215" s="23">
        <v>45798</v>
      </c>
      <c r="B215" s="24" t="s">
        <v>307</v>
      </c>
      <c r="C215" s="24" t="s">
        <v>56</v>
      </c>
      <c r="D215" s="24" t="s">
        <v>71</v>
      </c>
      <c r="E215" s="25">
        <v>1612.5</v>
      </c>
      <c r="F215" s="25">
        <v>970.9</v>
      </c>
      <c r="G215" s="26">
        <f>T_Ventes[[#This Row],[CA HT]]-T_Ventes[[#This Row],[Coût achat HT]]</f>
        <v>641.6</v>
      </c>
      <c r="H215" s="27">
        <f>DATE(YEAR(T_Ventes[[#This Row],[Date facture]]),MONTH(T_Ventes[[#This Row],[Date facture]]),1)</f>
        <v>45778</v>
      </c>
      <c r="I215" s="28">
        <f>YEAR(T_Ventes[[#This Row],[Date facture]])</f>
        <v>2025</v>
      </c>
    </row>
    <row r="216" spans="1:9" x14ac:dyDescent="0.3">
      <c r="A216" s="23">
        <v>45800</v>
      </c>
      <c r="B216" s="24" t="s">
        <v>308</v>
      </c>
      <c r="C216" s="24" t="s">
        <v>56</v>
      </c>
      <c r="D216" s="24" t="s">
        <v>64</v>
      </c>
      <c r="E216" s="25">
        <v>1896.77</v>
      </c>
      <c r="F216" s="25">
        <v>1456.47</v>
      </c>
      <c r="G216" s="26">
        <f>T_Ventes[[#This Row],[CA HT]]-T_Ventes[[#This Row],[Coût achat HT]]</f>
        <v>440.29999999999995</v>
      </c>
      <c r="H216" s="27">
        <f>DATE(YEAR(T_Ventes[[#This Row],[Date facture]]),MONTH(T_Ventes[[#This Row],[Date facture]]),1)</f>
        <v>45778</v>
      </c>
      <c r="I216" s="28">
        <f>YEAR(T_Ventes[[#This Row],[Date facture]])</f>
        <v>2025</v>
      </c>
    </row>
    <row r="217" spans="1:9" x14ac:dyDescent="0.3">
      <c r="A217" s="23">
        <v>45800</v>
      </c>
      <c r="B217" s="24" t="s">
        <v>309</v>
      </c>
      <c r="C217" s="24" t="s">
        <v>162</v>
      </c>
      <c r="D217" s="24" t="s">
        <v>64</v>
      </c>
      <c r="E217" s="25">
        <v>1869.15</v>
      </c>
      <c r="F217" s="25">
        <v>1428.35</v>
      </c>
      <c r="G217" s="26">
        <f>T_Ventes[[#This Row],[CA HT]]-T_Ventes[[#This Row],[Coût achat HT]]</f>
        <v>440.80000000000018</v>
      </c>
      <c r="H217" s="27">
        <f>DATE(YEAR(T_Ventes[[#This Row],[Date facture]]),MONTH(T_Ventes[[#This Row],[Date facture]]),1)</f>
        <v>45778</v>
      </c>
      <c r="I217" s="28">
        <f>YEAR(T_Ventes[[#This Row],[Date facture]])</f>
        <v>2025</v>
      </c>
    </row>
    <row r="218" spans="1:9" x14ac:dyDescent="0.3">
      <c r="A218" s="23">
        <v>45800</v>
      </c>
      <c r="B218" s="24" t="s">
        <v>310</v>
      </c>
      <c r="C218" s="24" t="s">
        <v>76</v>
      </c>
      <c r="D218" s="24" t="s">
        <v>71</v>
      </c>
      <c r="E218" s="25">
        <v>2437.5700000000002</v>
      </c>
      <c r="F218" s="25">
        <v>1393.27</v>
      </c>
      <c r="G218" s="26">
        <f>T_Ventes[[#This Row],[CA HT]]-T_Ventes[[#This Row],[Coût achat HT]]</f>
        <v>1044.3000000000002</v>
      </c>
      <c r="H218" s="27">
        <f>DATE(YEAR(T_Ventes[[#This Row],[Date facture]]),MONTH(T_Ventes[[#This Row],[Date facture]]),1)</f>
        <v>45778</v>
      </c>
      <c r="I218" s="28">
        <f>YEAR(T_Ventes[[#This Row],[Date facture]])</f>
        <v>2025</v>
      </c>
    </row>
    <row r="219" spans="1:9" x14ac:dyDescent="0.3">
      <c r="A219" s="23">
        <v>45801</v>
      </c>
      <c r="B219" s="24" t="s">
        <v>311</v>
      </c>
      <c r="C219" s="24" t="s">
        <v>63</v>
      </c>
      <c r="D219" s="24" t="s">
        <v>59</v>
      </c>
      <c r="E219" s="25">
        <v>5600.31</v>
      </c>
      <c r="F219" s="25">
        <v>2111.64</v>
      </c>
      <c r="G219" s="26">
        <f>T_Ventes[[#This Row],[CA HT]]-T_Ventes[[#This Row],[Coût achat HT]]</f>
        <v>3488.6700000000005</v>
      </c>
      <c r="H219" s="27">
        <f>DATE(YEAR(T_Ventes[[#This Row],[Date facture]]),MONTH(T_Ventes[[#This Row],[Date facture]]),1)</f>
        <v>45778</v>
      </c>
      <c r="I219" s="28">
        <f>YEAR(T_Ventes[[#This Row],[Date facture]])</f>
        <v>2025</v>
      </c>
    </row>
    <row r="220" spans="1:9" x14ac:dyDescent="0.3">
      <c r="A220" s="23">
        <v>45803</v>
      </c>
      <c r="B220" s="24" t="s">
        <v>312</v>
      </c>
      <c r="C220" s="24" t="s">
        <v>92</v>
      </c>
      <c r="D220" s="24" t="s">
        <v>71</v>
      </c>
      <c r="E220" s="25">
        <v>2899.95</v>
      </c>
      <c r="F220" s="25">
        <v>1756.66</v>
      </c>
      <c r="G220" s="26">
        <f>T_Ventes[[#This Row],[CA HT]]-T_Ventes[[#This Row],[Coût achat HT]]</f>
        <v>1143.2899999999997</v>
      </c>
      <c r="H220" s="27">
        <f>DATE(YEAR(T_Ventes[[#This Row],[Date facture]]),MONTH(T_Ventes[[#This Row],[Date facture]]),1)</f>
        <v>45778</v>
      </c>
      <c r="I220" s="28">
        <f>YEAR(T_Ventes[[#This Row],[Date facture]])</f>
        <v>2025</v>
      </c>
    </row>
    <row r="221" spans="1:9" x14ac:dyDescent="0.3">
      <c r="A221" s="23">
        <v>45804</v>
      </c>
      <c r="B221" s="24" t="s">
        <v>313</v>
      </c>
      <c r="C221" s="24" t="s">
        <v>115</v>
      </c>
      <c r="D221" s="24" t="s">
        <v>64</v>
      </c>
      <c r="E221" s="25">
        <v>5506.46</v>
      </c>
      <c r="F221" s="25">
        <v>4246.07</v>
      </c>
      <c r="G221" s="26">
        <f>T_Ventes[[#This Row],[CA HT]]-T_Ventes[[#This Row],[Coût achat HT]]</f>
        <v>1260.3900000000003</v>
      </c>
      <c r="H221" s="27">
        <f>DATE(YEAR(T_Ventes[[#This Row],[Date facture]]),MONTH(T_Ventes[[#This Row],[Date facture]]),1)</f>
        <v>45778</v>
      </c>
      <c r="I221" s="28">
        <f>YEAR(T_Ventes[[#This Row],[Date facture]])</f>
        <v>2025</v>
      </c>
    </row>
    <row r="222" spans="1:9" x14ac:dyDescent="0.3">
      <c r="A222" s="23">
        <v>45804</v>
      </c>
      <c r="B222" s="24" t="s">
        <v>314</v>
      </c>
      <c r="C222" s="24" t="s">
        <v>56</v>
      </c>
      <c r="D222" s="24" t="s">
        <v>59</v>
      </c>
      <c r="E222" s="25">
        <v>3039.47</v>
      </c>
      <c r="F222" s="25">
        <v>1182.8900000000001</v>
      </c>
      <c r="G222" s="26">
        <f>T_Ventes[[#This Row],[CA HT]]-T_Ventes[[#This Row],[Coût achat HT]]</f>
        <v>1856.5799999999997</v>
      </c>
      <c r="H222" s="27">
        <f>DATE(YEAR(T_Ventes[[#This Row],[Date facture]]),MONTH(T_Ventes[[#This Row],[Date facture]]),1)</f>
        <v>45778</v>
      </c>
      <c r="I222" s="28">
        <f>YEAR(T_Ventes[[#This Row],[Date facture]])</f>
        <v>2025</v>
      </c>
    </row>
    <row r="223" spans="1:9" x14ac:dyDescent="0.3">
      <c r="A223" s="23">
        <v>45805</v>
      </c>
      <c r="B223" s="24" t="s">
        <v>315</v>
      </c>
      <c r="C223" s="24" t="s">
        <v>90</v>
      </c>
      <c r="D223" s="24" t="s">
        <v>57</v>
      </c>
      <c r="E223" s="25">
        <v>3309.53</v>
      </c>
      <c r="F223" s="25">
        <v>2210.4699999999998</v>
      </c>
      <c r="G223" s="26">
        <f>T_Ventes[[#This Row],[CA HT]]-T_Ventes[[#This Row],[Coût achat HT]]</f>
        <v>1099.0600000000004</v>
      </c>
      <c r="H223" s="27">
        <f>DATE(YEAR(T_Ventes[[#This Row],[Date facture]]),MONTH(T_Ventes[[#This Row],[Date facture]]),1)</f>
        <v>45778</v>
      </c>
      <c r="I223" s="28">
        <f>YEAR(T_Ventes[[#This Row],[Date facture]])</f>
        <v>2025</v>
      </c>
    </row>
    <row r="224" spans="1:9" x14ac:dyDescent="0.3">
      <c r="A224" s="23">
        <v>45805</v>
      </c>
      <c r="B224" s="24" t="s">
        <v>316</v>
      </c>
      <c r="C224" s="24" t="s">
        <v>70</v>
      </c>
      <c r="D224" s="24" t="s">
        <v>71</v>
      </c>
      <c r="E224" s="25">
        <v>9324.81</v>
      </c>
      <c r="F224" s="25">
        <v>5444.12</v>
      </c>
      <c r="G224" s="26">
        <f>T_Ventes[[#This Row],[CA HT]]-T_Ventes[[#This Row],[Coût achat HT]]</f>
        <v>3880.6899999999996</v>
      </c>
      <c r="H224" s="27">
        <f>DATE(YEAR(T_Ventes[[#This Row],[Date facture]]),MONTH(T_Ventes[[#This Row],[Date facture]]),1)</f>
        <v>45778</v>
      </c>
      <c r="I224" s="28">
        <f>YEAR(T_Ventes[[#This Row],[Date facture]])</f>
        <v>2025</v>
      </c>
    </row>
    <row r="225" spans="1:9" x14ac:dyDescent="0.3">
      <c r="A225" s="23">
        <v>45809</v>
      </c>
      <c r="B225" s="24" t="s">
        <v>317</v>
      </c>
      <c r="C225" s="24" t="s">
        <v>73</v>
      </c>
      <c r="D225" s="24" t="s">
        <v>64</v>
      </c>
      <c r="E225" s="25">
        <v>4101.8999999999996</v>
      </c>
      <c r="F225" s="25">
        <v>3094.19</v>
      </c>
      <c r="G225" s="26">
        <f>T_Ventes[[#This Row],[CA HT]]-T_Ventes[[#This Row],[Coût achat HT]]</f>
        <v>1007.7099999999996</v>
      </c>
      <c r="H225" s="27">
        <f>DATE(YEAR(T_Ventes[[#This Row],[Date facture]]),MONTH(T_Ventes[[#This Row],[Date facture]]),1)</f>
        <v>45809</v>
      </c>
      <c r="I225" s="28">
        <f>YEAR(T_Ventes[[#This Row],[Date facture]])</f>
        <v>2025</v>
      </c>
    </row>
    <row r="226" spans="1:9" x14ac:dyDescent="0.3">
      <c r="A226" s="23">
        <v>45809</v>
      </c>
      <c r="B226" s="24" t="s">
        <v>318</v>
      </c>
      <c r="C226" s="24" t="s">
        <v>56</v>
      </c>
      <c r="D226" s="24" t="s">
        <v>59</v>
      </c>
      <c r="E226" s="25">
        <v>3612.24</v>
      </c>
      <c r="F226" s="25">
        <v>1469.78</v>
      </c>
      <c r="G226" s="26">
        <f>T_Ventes[[#This Row],[CA HT]]-T_Ventes[[#This Row],[Coût achat HT]]</f>
        <v>2142.46</v>
      </c>
      <c r="H226" s="27">
        <f>DATE(YEAR(T_Ventes[[#This Row],[Date facture]]),MONTH(T_Ventes[[#This Row],[Date facture]]),1)</f>
        <v>45809</v>
      </c>
      <c r="I226" s="28">
        <f>YEAR(T_Ventes[[#This Row],[Date facture]])</f>
        <v>2025</v>
      </c>
    </row>
    <row r="227" spans="1:9" x14ac:dyDescent="0.3">
      <c r="A227" s="23">
        <v>45810</v>
      </c>
      <c r="B227" s="24" t="s">
        <v>319</v>
      </c>
      <c r="C227" s="24" t="s">
        <v>208</v>
      </c>
      <c r="D227" s="24" t="s">
        <v>57</v>
      </c>
      <c r="E227" s="25">
        <v>5291.96</v>
      </c>
      <c r="F227" s="25">
        <v>3434.26</v>
      </c>
      <c r="G227" s="26">
        <f>T_Ventes[[#This Row],[CA HT]]-T_Ventes[[#This Row],[Coût achat HT]]</f>
        <v>1857.6999999999998</v>
      </c>
      <c r="H227" s="27">
        <f>DATE(YEAR(T_Ventes[[#This Row],[Date facture]]),MONTH(T_Ventes[[#This Row],[Date facture]]),1)</f>
        <v>45809</v>
      </c>
      <c r="I227" s="28">
        <f>YEAR(T_Ventes[[#This Row],[Date facture]])</f>
        <v>2025</v>
      </c>
    </row>
    <row r="228" spans="1:9" x14ac:dyDescent="0.3">
      <c r="A228" s="23">
        <v>45812</v>
      </c>
      <c r="B228" s="24" t="s">
        <v>320</v>
      </c>
      <c r="C228" s="24" t="s">
        <v>76</v>
      </c>
      <c r="D228" s="24" t="s">
        <v>59</v>
      </c>
      <c r="E228" s="25">
        <v>4666.7</v>
      </c>
      <c r="F228" s="25">
        <v>1817.61</v>
      </c>
      <c r="G228" s="26">
        <f>T_Ventes[[#This Row],[CA HT]]-T_Ventes[[#This Row],[Coût achat HT]]</f>
        <v>2849.09</v>
      </c>
      <c r="H228" s="27">
        <f>DATE(YEAR(T_Ventes[[#This Row],[Date facture]]),MONTH(T_Ventes[[#This Row],[Date facture]]),1)</f>
        <v>45809</v>
      </c>
      <c r="I228" s="28">
        <f>YEAR(T_Ventes[[#This Row],[Date facture]])</f>
        <v>2025</v>
      </c>
    </row>
    <row r="229" spans="1:9" x14ac:dyDescent="0.3">
      <c r="A229" s="23">
        <v>45813</v>
      </c>
      <c r="B229" s="24" t="s">
        <v>321</v>
      </c>
      <c r="C229" s="24" t="s">
        <v>84</v>
      </c>
      <c r="D229" s="24" t="s">
        <v>64</v>
      </c>
      <c r="E229" s="25">
        <v>4640.78</v>
      </c>
      <c r="F229" s="25">
        <v>3546.77</v>
      </c>
      <c r="G229" s="26">
        <f>T_Ventes[[#This Row],[CA HT]]-T_Ventes[[#This Row],[Coût achat HT]]</f>
        <v>1094.0099999999998</v>
      </c>
      <c r="H229" s="27">
        <f>DATE(YEAR(T_Ventes[[#This Row],[Date facture]]),MONTH(T_Ventes[[#This Row],[Date facture]]),1)</f>
        <v>45809</v>
      </c>
      <c r="I229" s="28">
        <f>YEAR(T_Ventes[[#This Row],[Date facture]])</f>
        <v>2025</v>
      </c>
    </row>
    <row r="230" spans="1:9" x14ac:dyDescent="0.3">
      <c r="A230" s="23">
        <v>45813</v>
      </c>
      <c r="B230" s="24" t="s">
        <v>322</v>
      </c>
      <c r="C230" s="24" t="s">
        <v>73</v>
      </c>
      <c r="D230" s="24" t="s">
        <v>64</v>
      </c>
      <c r="E230" s="25">
        <v>2721.1</v>
      </c>
      <c r="F230" s="25">
        <v>2059.85</v>
      </c>
      <c r="G230" s="26">
        <f>T_Ventes[[#This Row],[CA HT]]-T_Ventes[[#This Row],[Coût achat HT]]</f>
        <v>661.25</v>
      </c>
      <c r="H230" s="27">
        <f>DATE(YEAR(T_Ventes[[#This Row],[Date facture]]),MONTH(T_Ventes[[#This Row],[Date facture]]),1)</f>
        <v>45809</v>
      </c>
      <c r="I230" s="28">
        <f>YEAR(T_Ventes[[#This Row],[Date facture]])</f>
        <v>2025</v>
      </c>
    </row>
    <row r="231" spans="1:9" x14ac:dyDescent="0.3">
      <c r="A231" s="23">
        <v>45816</v>
      </c>
      <c r="B231" s="24" t="s">
        <v>323</v>
      </c>
      <c r="C231" s="24" t="s">
        <v>94</v>
      </c>
      <c r="D231" s="24" t="s">
        <v>64</v>
      </c>
      <c r="E231" s="25">
        <v>3682.69</v>
      </c>
      <c r="F231" s="25">
        <v>2790.48</v>
      </c>
      <c r="G231" s="26">
        <f>T_Ventes[[#This Row],[CA HT]]-T_Ventes[[#This Row],[Coût achat HT]]</f>
        <v>892.21</v>
      </c>
      <c r="H231" s="27">
        <f>DATE(YEAR(T_Ventes[[#This Row],[Date facture]]),MONTH(T_Ventes[[#This Row],[Date facture]]),1)</f>
        <v>45809</v>
      </c>
      <c r="I231" s="28">
        <f>YEAR(T_Ventes[[#This Row],[Date facture]])</f>
        <v>2025</v>
      </c>
    </row>
    <row r="232" spans="1:9" x14ac:dyDescent="0.3">
      <c r="A232" s="23">
        <v>45816</v>
      </c>
      <c r="B232" s="24" t="s">
        <v>324</v>
      </c>
      <c r="C232" s="24" t="s">
        <v>80</v>
      </c>
      <c r="D232" s="24" t="s">
        <v>71</v>
      </c>
      <c r="E232" s="25">
        <v>3399.04</v>
      </c>
      <c r="F232" s="25">
        <v>2006.75</v>
      </c>
      <c r="G232" s="26">
        <f>T_Ventes[[#This Row],[CA HT]]-T_Ventes[[#This Row],[Coût achat HT]]</f>
        <v>1392.29</v>
      </c>
      <c r="H232" s="27">
        <f>DATE(YEAR(T_Ventes[[#This Row],[Date facture]]),MONTH(T_Ventes[[#This Row],[Date facture]]),1)</f>
        <v>45809</v>
      </c>
      <c r="I232" s="28">
        <f>YEAR(T_Ventes[[#This Row],[Date facture]])</f>
        <v>2025</v>
      </c>
    </row>
    <row r="233" spans="1:9" x14ac:dyDescent="0.3">
      <c r="A233" s="23">
        <v>45817</v>
      </c>
      <c r="B233" s="24" t="s">
        <v>325</v>
      </c>
      <c r="C233" s="24" t="s">
        <v>80</v>
      </c>
      <c r="D233" s="24" t="s">
        <v>64</v>
      </c>
      <c r="E233" s="25">
        <v>5871.4</v>
      </c>
      <c r="F233" s="25">
        <v>4479.5600000000004</v>
      </c>
      <c r="G233" s="26">
        <f>T_Ventes[[#This Row],[CA HT]]-T_Ventes[[#This Row],[Coût achat HT]]</f>
        <v>1391.8399999999992</v>
      </c>
      <c r="H233" s="27">
        <f>DATE(YEAR(T_Ventes[[#This Row],[Date facture]]),MONTH(T_Ventes[[#This Row],[Date facture]]),1)</f>
        <v>45809</v>
      </c>
      <c r="I233" s="28">
        <f>YEAR(T_Ventes[[#This Row],[Date facture]])</f>
        <v>2025</v>
      </c>
    </row>
    <row r="234" spans="1:9" x14ac:dyDescent="0.3">
      <c r="A234" s="23">
        <v>45817</v>
      </c>
      <c r="B234" s="24" t="s">
        <v>326</v>
      </c>
      <c r="C234" s="24" t="s">
        <v>56</v>
      </c>
      <c r="D234" s="24" t="s">
        <v>64</v>
      </c>
      <c r="E234" s="25">
        <v>4400.95</v>
      </c>
      <c r="F234" s="25">
        <v>3333.26</v>
      </c>
      <c r="G234" s="26">
        <f>T_Ventes[[#This Row],[CA HT]]-T_Ventes[[#This Row],[Coût achat HT]]</f>
        <v>1067.6899999999996</v>
      </c>
      <c r="H234" s="27">
        <f>DATE(YEAR(T_Ventes[[#This Row],[Date facture]]),MONTH(T_Ventes[[#This Row],[Date facture]]),1)</f>
        <v>45809</v>
      </c>
      <c r="I234" s="28">
        <f>YEAR(T_Ventes[[#This Row],[Date facture]])</f>
        <v>2025</v>
      </c>
    </row>
    <row r="235" spans="1:9" x14ac:dyDescent="0.3">
      <c r="A235" s="23">
        <v>45818</v>
      </c>
      <c r="B235" s="24" t="s">
        <v>327</v>
      </c>
      <c r="C235" s="24" t="s">
        <v>208</v>
      </c>
      <c r="D235" s="24" t="s">
        <v>64</v>
      </c>
      <c r="E235" s="25">
        <v>5252.88</v>
      </c>
      <c r="F235" s="25">
        <v>4053.9</v>
      </c>
      <c r="G235" s="26">
        <f>T_Ventes[[#This Row],[CA HT]]-T_Ventes[[#This Row],[Coût achat HT]]</f>
        <v>1198.98</v>
      </c>
      <c r="H235" s="27">
        <f>DATE(YEAR(T_Ventes[[#This Row],[Date facture]]),MONTH(T_Ventes[[#This Row],[Date facture]]),1)</f>
        <v>45809</v>
      </c>
      <c r="I235" s="28">
        <f>YEAR(T_Ventes[[#This Row],[Date facture]])</f>
        <v>2025</v>
      </c>
    </row>
    <row r="236" spans="1:9" x14ac:dyDescent="0.3">
      <c r="A236" s="23">
        <v>45818</v>
      </c>
      <c r="B236" s="24" t="s">
        <v>328</v>
      </c>
      <c r="C236" s="24" t="s">
        <v>103</v>
      </c>
      <c r="D236" s="24" t="s">
        <v>57</v>
      </c>
      <c r="E236" s="25">
        <v>3224.82</v>
      </c>
      <c r="F236" s="25">
        <v>2124.19</v>
      </c>
      <c r="G236" s="26">
        <f>T_Ventes[[#This Row],[CA HT]]-T_Ventes[[#This Row],[Coût achat HT]]</f>
        <v>1100.6300000000001</v>
      </c>
      <c r="H236" s="27">
        <f>DATE(YEAR(T_Ventes[[#This Row],[Date facture]]),MONTH(T_Ventes[[#This Row],[Date facture]]),1)</f>
        <v>45809</v>
      </c>
      <c r="I236" s="28">
        <f>YEAR(T_Ventes[[#This Row],[Date facture]])</f>
        <v>2025</v>
      </c>
    </row>
    <row r="237" spans="1:9" x14ac:dyDescent="0.3">
      <c r="A237" s="23">
        <v>45818</v>
      </c>
      <c r="B237" s="24" t="s">
        <v>329</v>
      </c>
      <c r="C237" s="24" t="s">
        <v>80</v>
      </c>
      <c r="D237" s="24" t="s">
        <v>57</v>
      </c>
      <c r="E237" s="25">
        <v>5082.62</v>
      </c>
      <c r="F237" s="25">
        <v>3366.54</v>
      </c>
      <c r="G237" s="26">
        <f>T_Ventes[[#This Row],[CA HT]]-T_Ventes[[#This Row],[Coût achat HT]]</f>
        <v>1716.08</v>
      </c>
      <c r="H237" s="27">
        <f>DATE(YEAR(T_Ventes[[#This Row],[Date facture]]),MONTH(T_Ventes[[#This Row],[Date facture]]),1)</f>
        <v>45809</v>
      </c>
      <c r="I237" s="28">
        <f>YEAR(T_Ventes[[#This Row],[Date facture]])</f>
        <v>2025</v>
      </c>
    </row>
    <row r="238" spans="1:9" x14ac:dyDescent="0.3">
      <c r="A238" s="23">
        <v>45818</v>
      </c>
      <c r="B238" s="24" t="s">
        <v>330</v>
      </c>
      <c r="C238" s="24" t="s">
        <v>208</v>
      </c>
      <c r="D238" s="24" t="s">
        <v>57</v>
      </c>
      <c r="E238" s="25">
        <v>2019.81</v>
      </c>
      <c r="F238" s="25">
        <v>1312.5</v>
      </c>
      <c r="G238" s="26">
        <f>T_Ventes[[#This Row],[CA HT]]-T_Ventes[[#This Row],[Coût achat HT]]</f>
        <v>707.31</v>
      </c>
      <c r="H238" s="27">
        <f>DATE(YEAR(T_Ventes[[#This Row],[Date facture]]),MONTH(T_Ventes[[#This Row],[Date facture]]),1)</f>
        <v>45809</v>
      </c>
      <c r="I238" s="28">
        <f>YEAR(T_Ventes[[#This Row],[Date facture]])</f>
        <v>2025</v>
      </c>
    </row>
    <row r="239" spans="1:9" x14ac:dyDescent="0.3">
      <c r="A239" s="23">
        <v>45819</v>
      </c>
      <c r="B239" s="24" t="s">
        <v>331</v>
      </c>
      <c r="C239" s="24" t="s">
        <v>90</v>
      </c>
      <c r="D239" s="24" t="s">
        <v>64</v>
      </c>
      <c r="E239" s="25">
        <v>2238.42</v>
      </c>
      <c r="F239" s="25">
        <v>1708.94</v>
      </c>
      <c r="G239" s="26">
        <f>T_Ventes[[#This Row],[CA HT]]-T_Ventes[[#This Row],[Coût achat HT]]</f>
        <v>529.48</v>
      </c>
      <c r="H239" s="27">
        <f>DATE(YEAR(T_Ventes[[#This Row],[Date facture]]),MONTH(T_Ventes[[#This Row],[Date facture]]),1)</f>
        <v>45809</v>
      </c>
      <c r="I239" s="28">
        <f>YEAR(T_Ventes[[#This Row],[Date facture]])</f>
        <v>2025</v>
      </c>
    </row>
    <row r="240" spans="1:9" x14ac:dyDescent="0.3">
      <c r="A240" s="23">
        <v>45819</v>
      </c>
      <c r="B240" s="24" t="s">
        <v>332</v>
      </c>
      <c r="C240" s="24" t="s">
        <v>80</v>
      </c>
      <c r="D240" s="24" t="s">
        <v>57</v>
      </c>
      <c r="E240" s="25">
        <v>3215.13</v>
      </c>
      <c r="F240" s="25">
        <v>2165.5500000000002</v>
      </c>
      <c r="G240" s="26">
        <f>T_Ventes[[#This Row],[CA HT]]-T_Ventes[[#This Row],[Coût achat HT]]</f>
        <v>1049.58</v>
      </c>
      <c r="H240" s="27">
        <f>DATE(YEAR(T_Ventes[[#This Row],[Date facture]]),MONTH(T_Ventes[[#This Row],[Date facture]]),1)</f>
        <v>45809</v>
      </c>
      <c r="I240" s="28">
        <f>YEAR(T_Ventes[[#This Row],[Date facture]])</f>
        <v>2025</v>
      </c>
    </row>
    <row r="241" spans="1:9" x14ac:dyDescent="0.3">
      <c r="A241" s="23">
        <v>45819</v>
      </c>
      <c r="B241" s="24" t="s">
        <v>333</v>
      </c>
      <c r="C241" s="24" t="s">
        <v>162</v>
      </c>
      <c r="D241" s="24" t="s">
        <v>59</v>
      </c>
      <c r="E241" s="25">
        <v>5000.22</v>
      </c>
      <c r="F241" s="25">
        <v>1912.2</v>
      </c>
      <c r="G241" s="26">
        <f>T_Ventes[[#This Row],[CA HT]]-T_Ventes[[#This Row],[Coût achat HT]]</f>
        <v>3088.0200000000004</v>
      </c>
      <c r="H241" s="27">
        <f>DATE(YEAR(T_Ventes[[#This Row],[Date facture]]),MONTH(T_Ventes[[#This Row],[Date facture]]),1)</f>
        <v>45809</v>
      </c>
      <c r="I241" s="28">
        <f>YEAR(T_Ventes[[#This Row],[Date facture]])</f>
        <v>2025</v>
      </c>
    </row>
    <row r="242" spans="1:9" x14ac:dyDescent="0.3">
      <c r="A242" s="23">
        <v>45820</v>
      </c>
      <c r="B242" s="24" t="s">
        <v>334</v>
      </c>
      <c r="C242" s="24" t="s">
        <v>244</v>
      </c>
      <c r="D242" s="24" t="s">
        <v>71</v>
      </c>
      <c r="E242" s="25">
        <v>5172.95</v>
      </c>
      <c r="F242" s="25">
        <v>2988.34</v>
      </c>
      <c r="G242" s="26">
        <f>T_Ventes[[#This Row],[CA HT]]-T_Ventes[[#This Row],[Coût achat HT]]</f>
        <v>2184.6099999999997</v>
      </c>
      <c r="H242" s="27">
        <f>DATE(YEAR(T_Ventes[[#This Row],[Date facture]]),MONTH(T_Ventes[[#This Row],[Date facture]]),1)</f>
        <v>45809</v>
      </c>
      <c r="I242" s="28">
        <f>YEAR(T_Ventes[[#This Row],[Date facture]])</f>
        <v>2025</v>
      </c>
    </row>
    <row r="243" spans="1:9" x14ac:dyDescent="0.3">
      <c r="A243" s="23">
        <v>45821</v>
      </c>
      <c r="B243" s="24" t="s">
        <v>335</v>
      </c>
      <c r="C243" s="24" t="s">
        <v>80</v>
      </c>
      <c r="D243" s="24" t="s">
        <v>57</v>
      </c>
      <c r="E243" s="25">
        <v>3189.03</v>
      </c>
      <c r="F243" s="25">
        <v>2083.91</v>
      </c>
      <c r="G243" s="26">
        <f>T_Ventes[[#This Row],[CA HT]]-T_Ventes[[#This Row],[Coût achat HT]]</f>
        <v>1105.1200000000003</v>
      </c>
      <c r="H243" s="27">
        <f>DATE(YEAR(T_Ventes[[#This Row],[Date facture]]),MONTH(T_Ventes[[#This Row],[Date facture]]),1)</f>
        <v>45809</v>
      </c>
      <c r="I243" s="28">
        <f>YEAR(T_Ventes[[#This Row],[Date facture]])</f>
        <v>2025</v>
      </c>
    </row>
    <row r="244" spans="1:9" x14ac:dyDescent="0.3">
      <c r="A244" s="23">
        <v>45821</v>
      </c>
      <c r="B244" s="24" t="s">
        <v>336</v>
      </c>
      <c r="C244" s="24" t="s">
        <v>56</v>
      </c>
      <c r="D244" s="24" t="s">
        <v>57</v>
      </c>
      <c r="E244" s="25">
        <v>5692.45</v>
      </c>
      <c r="F244" s="25">
        <v>3788.91</v>
      </c>
      <c r="G244" s="26">
        <f>T_Ventes[[#This Row],[CA HT]]-T_Ventes[[#This Row],[Coût achat HT]]</f>
        <v>1903.54</v>
      </c>
      <c r="H244" s="27">
        <f>DATE(YEAR(T_Ventes[[#This Row],[Date facture]]),MONTH(T_Ventes[[#This Row],[Date facture]]),1)</f>
        <v>45809</v>
      </c>
      <c r="I244" s="28">
        <f>YEAR(T_Ventes[[#This Row],[Date facture]])</f>
        <v>2025</v>
      </c>
    </row>
    <row r="245" spans="1:9" x14ac:dyDescent="0.3">
      <c r="A245" s="23">
        <v>45821</v>
      </c>
      <c r="B245" s="24" t="s">
        <v>337</v>
      </c>
      <c r="C245" s="24" t="s">
        <v>84</v>
      </c>
      <c r="D245" s="24" t="s">
        <v>57</v>
      </c>
      <c r="E245" s="25">
        <v>4104.0200000000004</v>
      </c>
      <c r="F245" s="25">
        <v>2729.91</v>
      </c>
      <c r="G245" s="26">
        <f>T_Ventes[[#This Row],[CA HT]]-T_Ventes[[#This Row],[Coût achat HT]]</f>
        <v>1374.1100000000006</v>
      </c>
      <c r="H245" s="27">
        <f>DATE(YEAR(T_Ventes[[#This Row],[Date facture]]),MONTH(T_Ventes[[#This Row],[Date facture]]),1)</f>
        <v>45809</v>
      </c>
      <c r="I245" s="28">
        <f>YEAR(T_Ventes[[#This Row],[Date facture]])</f>
        <v>2025</v>
      </c>
    </row>
    <row r="246" spans="1:9" x14ac:dyDescent="0.3">
      <c r="A246" s="23">
        <v>45821</v>
      </c>
      <c r="B246" s="24" t="s">
        <v>338</v>
      </c>
      <c r="C246" s="24" t="s">
        <v>108</v>
      </c>
      <c r="D246" s="24" t="s">
        <v>71</v>
      </c>
      <c r="E246" s="25">
        <v>4786.59</v>
      </c>
      <c r="F246" s="25">
        <v>2762.45</v>
      </c>
      <c r="G246" s="26">
        <f>T_Ventes[[#This Row],[CA HT]]-T_Ventes[[#This Row],[Coût achat HT]]</f>
        <v>2024.1400000000003</v>
      </c>
      <c r="H246" s="27">
        <f>DATE(YEAR(T_Ventes[[#This Row],[Date facture]]),MONTH(T_Ventes[[#This Row],[Date facture]]),1)</f>
        <v>45809</v>
      </c>
      <c r="I246" s="28">
        <f>YEAR(T_Ventes[[#This Row],[Date facture]])</f>
        <v>2025</v>
      </c>
    </row>
    <row r="247" spans="1:9" x14ac:dyDescent="0.3">
      <c r="A247" s="23">
        <v>45822</v>
      </c>
      <c r="B247" s="24" t="s">
        <v>339</v>
      </c>
      <c r="C247" s="24" t="s">
        <v>66</v>
      </c>
      <c r="D247" s="24" t="s">
        <v>71</v>
      </c>
      <c r="E247" s="25">
        <v>4261.1099999999997</v>
      </c>
      <c r="F247" s="25">
        <v>2445.52</v>
      </c>
      <c r="G247" s="26">
        <f>T_Ventes[[#This Row],[CA HT]]-T_Ventes[[#This Row],[Coût achat HT]]</f>
        <v>1815.5899999999997</v>
      </c>
      <c r="H247" s="27">
        <f>DATE(YEAR(T_Ventes[[#This Row],[Date facture]]),MONTH(T_Ventes[[#This Row],[Date facture]]),1)</f>
        <v>45809</v>
      </c>
      <c r="I247" s="28">
        <f>YEAR(T_Ventes[[#This Row],[Date facture]])</f>
        <v>2025</v>
      </c>
    </row>
    <row r="248" spans="1:9" x14ac:dyDescent="0.3">
      <c r="A248" s="23">
        <v>45822</v>
      </c>
      <c r="B248" s="24" t="s">
        <v>340</v>
      </c>
      <c r="C248" s="24" t="s">
        <v>80</v>
      </c>
      <c r="D248" s="24" t="s">
        <v>59</v>
      </c>
      <c r="E248" s="25">
        <v>3409.53</v>
      </c>
      <c r="F248" s="25">
        <v>1335.66</v>
      </c>
      <c r="G248" s="26">
        <f>T_Ventes[[#This Row],[CA HT]]-T_Ventes[[#This Row],[Coût achat HT]]</f>
        <v>2073.87</v>
      </c>
      <c r="H248" s="27">
        <f>DATE(YEAR(T_Ventes[[#This Row],[Date facture]]),MONTH(T_Ventes[[#This Row],[Date facture]]),1)</f>
        <v>45809</v>
      </c>
      <c r="I248" s="28">
        <f>YEAR(T_Ventes[[#This Row],[Date facture]])</f>
        <v>2025</v>
      </c>
    </row>
    <row r="249" spans="1:9" x14ac:dyDescent="0.3">
      <c r="A249" s="23">
        <v>45823</v>
      </c>
      <c r="B249" s="24" t="s">
        <v>341</v>
      </c>
      <c r="C249" s="24" t="s">
        <v>105</v>
      </c>
      <c r="D249" s="24" t="s">
        <v>64</v>
      </c>
      <c r="E249" s="25">
        <v>6250.55</v>
      </c>
      <c r="F249" s="25">
        <v>4810.99</v>
      </c>
      <c r="G249" s="26">
        <f>T_Ventes[[#This Row],[CA HT]]-T_Ventes[[#This Row],[Coût achat HT]]</f>
        <v>1439.5600000000004</v>
      </c>
      <c r="H249" s="27">
        <f>DATE(YEAR(T_Ventes[[#This Row],[Date facture]]),MONTH(T_Ventes[[#This Row],[Date facture]]),1)</f>
        <v>45809</v>
      </c>
      <c r="I249" s="28">
        <f>YEAR(T_Ventes[[#This Row],[Date facture]])</f>
        <v>2025</v>
      </c>
    </row>
    <row r="250" spans="1:9" x14ac:dyDescent="0.3">
      <c r="A250" s="23">
        <v>45823</v>
      </c>
      <c r="B250" s="24" t="s">
        <v>342</v>
      </c>
      <c r="C250" s="24" t="s">
        <v>80</v>
      </c>
      <c r="D250" s="24" t="s">
        <v>57</v>
      </c>
      <c r="E250" s="25">
        <v>3342.41</v>
      </c>
      <c r="F250" s="25">
        <v>2205.0100000000002</v>
      </c>
      <c r="G250" s="26">
        <f>T_Ventes[[#This Row],[CA HT]]-T_Ventes[[#This Row],[Coût achat HT]]</f>
        <v>1137.3999999999996</v>
      </c>
      <c r="H250" s="27">
        <f>DATE(YEAR(T_Ventes[[#This Row],[Date facture]]),MONTH(T_Ventes[[#This Row],[Date facture]]),1)</f>
        <v>45809</v>
      </c>
      <c r="I250" s="28">
        <f>YEAR(T_Ventes[[#This Row],[Date facture]])</f>
        <v>2025</v>
      </c>
    </row>
    <row r="251" spans="1:9" x14ac:dyDescent="0.3">
      <c r="A251" s="23">
        <v>45824</v>
      </c>
      <c r="B251" s="24" t="s">
        <v>343</v>
      </c>
      <c r="C251" s="24" t="s">
        <v>63</v>
      </c>
      <c r="D251" s="24" t="s">
        <v>64</v>
      </c>
      <c r="E251" s="25">
        <v>3936.28</v>
      </c>
      <c r="F251" s="25">
        <v>3025.71</v>
      </c>
      <c r="G251" s="26">
        <f>T_Ventes[[#This Row],[CA HT]]-T_Ventes[[#This Row],[Coût achat HT]]</f>
        <v>910.57000000000016</v>
      </c>
      <c r="H251" s="27">
        <f>DATE(YEAR(T_Ventes[[#This Row],[Date facture]]),MONTH(T_Ventes[[#This Row],[Date facture]]),1)</f>
        <v>45809</v>
      </c>
      <c r="I251" s="28">
        <f>YEAR(T_Ventes[[#This Row],[Date facture]])</f>
        <v>2025</v>
      </c>
    </row>
    <row r="252" spans="1:9" x14ac:dyDescent="0.3">
      <c r="A252" s="23">
        <v>45824</v>
      </c>
      <c r="B252" s="24" t="s">
        <v>344</v>
      </c>
      <c r="C252" s="24" t="s">
        <v>68</v>
      </c>
      <c r="D252" s="24" t="s">
        <v>64</v>
      </c>
      <c r="E252" s="25">
        <v>2281.29</v>
      </c>
      <c r="F252" s="25">
        <v>1724.43</v>
      </c>
      <c r="G252" s="26">
        <f>T_Ventes[[#This Row],[CA HT]]-T_Ventes[[#This Row],[Coût achat HT]]</f>
        <v>556.8599999999999</v>
      </c>
      <c r="H252" s="27">
        <f>DATE(YEAR(T_Ventes[[#This Row],[Date facture]]),MONTH(T_Ventes[[#This Row],[Date facture]]),1)</f>
        <v>45809</v>
      </c>
      <c r="I252" s="28">
        <f>YEAR(T_Ventes[[#This Row],[Date facture]])</f>
        <v>2025</v>
      </c>
    </row>
    <row r="253" spans="1:9" x14ac:dyDescent="0.3">
      <c r="A253" s="23">
        <v>45824</v>
      </c>
      <c r="B253" s="24" t="s">
        <v>345</v>
      </c>
      <c r="C253" s="24" t="s">
        <v>56</v>
      </c>
      <c r="D253" s="24" t="s">
        <v>64</v>
      </c>
      <c r="E253" s="25">
        <v>7250.63</v>
      </c>
      <c r="F253" s="25">
        <v>5575.36</v>
      </c>
      <c r="G253" s="26">
        <f>T_Ventes[[#This Row],[CA HT]]-T_Ventes[[#This Row],[Coût achat HT]]</f>
        <v>1675.2700000000004</v>
      </c>
      <c r="H253" s="27">
        <f>DATE(YEAR(T_Ventes[[#This Row],[Date facture]]),MONTH(T_Ventes[[#This Row],[Date facture]]),1)</f>
        <v>45809</v>
      </c>
      <c r="I253" s="28">
        <f>YEAR(T_Ventes[[#This Row],[Date facture]])</f>
        <v>2025</v>
      </c>
    </row>
    <row r="254" spans="1:9" x14ac:dyDescent="0.3">
      <c r="A254" s="23">
        <v>45825</v>
      </c>
      <c r="B254" s="24" t="s">
        <v>346</v>
      </c>
      <c r="C254" s="24" t="s">
        <v>80</v>
      </c>
      <c r="D254" s="24" t="s">
        <v>71</v>
      </c>
      <c r="E254" s="25">
        <v>2036.11</v>
      </c>
      <c r="F254" s="25">
        <v>1207.8800000000001</v>
      </c>
      <c r="G254" s="26">
        <f>T_Ventes[[#This Row],[CA HT]]-T_Ventes[[#This Row],[Coût achat HT]]</f>
        <v>828.22999999999979</v>
      </c>
      <c r="H254" s="27">
        <f>DATE(YEAR(T_Ventes[[#This Row],[Date facture]]),MONTH(T_Ventes[[#This Row],[Date facture]]),1)</f>
        <v>45809</v>
      </c>
      <c r="I254" s="28">
        <f>YEAR(T_Ventes[[#This Row],[Date facture]])</f>
        <v>2025</v>
      </c>
    </row>
    <row r="255" spans="1:9" x14ac:dyDescent="0.3">
      <c r="A255" s="23">
        <v>45825</v>
      </c>
      <c r="B255" s="24" t="s">
        <v>347</v>
      </c>
      <c r="C255" s="24" t="s">
        <v>348</v>
      </c>
      <c r="D255" s="24" t="s">
        <v>59</v>
      </c>
      <c r="E255" s="25">
        <v>2768.49</v>
      </c>
      <c r="F255" s="25">
        <v>1030.3599999999999</v>
      </c>
      <c r="G255" s="26">
        <f>T_Ventes[[#This Row],[CA HT]]-T_Ventes[[#This Row],[Coût achat HT]]</f>
        <v>1738.1299999999999</v>
      </c>
      <c r="H255" s="27">
        <f>DATE(YEAR(T_Ventes[[#This Row],[Date facture]]),MONTH(T_Ventes[[#This Row],[Date facture]]),1)</f>
        <v>45809</v>
      </c>
      <c r="I255" s="28">
        <f>YEAR(T_Ventes[[#This Row],[Date facture]])</f>
        <v>2025</v>
      </c>
    </row>
    <row r="256" spans="1:9" x14ac:dyDescent="0.3">
      <c r="A256" s="23">
        <v>45826</v>
      </c>
      <c r="B256" s="24" t="s">
        <v>349</v>
      </c>
      <c r="C256" s="24" t="s">
        <v>66</v>
      </c>
      <c r="D256" s="24" t="s">
        <v>57</v>
      </c>
      <c r="E256" s="25">
        <v>2483.21</v>
      </c>
      <c r="F256" s="25">
        <v>1629.09</v>
      </c>
      <c r="G256" s="26">
        <f>T_Ventes[[#This Row],[CA HT]]-T_Ventes[[#This Row],[Coût achat HT]]</f>
        <v>854.12000000000012</v>
      </c>
      <c r="H256" s="27">
        <f>DATE(YEAR(T_Ventes[[#This Row],[Date facture]]),MONTH(T_Ventes[[#This Row],[Date facture]]),1)</f>
        <v>45809</v>
      </c>
      <c r="I256" s="28">
        <f>YEAR(T_Ventes[[#This Row],[Date facture]])</f>
        <v>2025</v>
      </c>
    </row>
    <row r="257" spans="1:9" x14ac:dyDescent="0.3">
      <c r="A257" s="23">
        <v>45826</v>
      </c>
      <c r="B257" s="24" t="s">
        <v>350</v>
      </c>
      <c r="C257" s="24" t="s">
        <v>105</v>
      </c>
      <c r="D257" s="24" t="s">
        <v>71</v>
      </c>
      <c r="E257" s="25">
        <v>5172.74</v>
      </c>
      <c r="F257" s="25">
        <v>3082.41</v>
      </c>
      <c r="G257" s="26">
        <f>T_Ventes[[#This Row],[CA HT]]-T_Ventes[[#This Row],[Coût achat HT]]</f>
        <v>2090.33</v>
      </c>
      <c r="H257" s="27">
        <f>DATE(YEAR(T_Ventes[[#This Row],[Date facture]]),MONTH(T_Ventes[[#This Row],[Date facture]]),1)</f>
        <v>45809</v>
      </c>
      <c r="I257" s="28">
        <f>YEAR(T_Ventes[[#This Row],[Date facture]])</f>
        <v>2025</v>
      </c>
    </row>
    <row r="258" spans="1:9" x14ac:dyDescent="0.3">
      <c r="A258" s="23">
        <v>45827</v>
      </c>
      <c r="B258" s="24" t="s">
        <v>351</v>
      </c>
      <c r="C258" s="24" t="s">
        <v>84</v>
      </c>
      <c r="D258" s="24" t="s">
        <v>64</v>
      </c>
      <c r="E258" s="25">
        <v>7266.6</v>
      </c>
      <c r="F258" s="25">
        <v>5511.03</v>
      </c>
      <c r="G258" s="26">
        <f>T_Ventes[[#This Row],[CA HT]]-T_Ventes[[#This Row],[Coût achat HT]]</f>
        <v>1755.5700000000006</v>
      </c>
      <c r="H258" s="27">
        <f>DATE(YEAR(T_Ventes[[#This Row],[Date facture]]),MONTH(T_Ventes[[#This Row],[Date facture]]),1)</f>
        <v>45809</v>
      </c>
      <c r="I258" s="28">
        <f>YEAR(T_Ventes[[#This Row],[Date facture]])</f>
        <v>2025</v>
      </c>
    </row>
    <row r="259" spans="1:9" x14ac:dyDescent="0.3">
      <c r="A259" s="23">
        <v>45827</v>
      </c>
      <c r="B259" s="24" t="s">
        <v>352</v>
      </c>
      <c r="C259" s="24" t="s">
        <v>56</v>
      </c>
      <c r="D259" s="24" t="s">
        <v>57</v>
      </c>
      <c r="E259" s="25">
        <v>1506.01</v>
      </c>
      <c r="F259" s="25">
        <v>969.04</v>
      </c>
      <c r="G259" s="26">
        <f>T_Ventes[[#This Row],[CA HT]]-T_Ventes[[#This Row],[Coût achat HT]]</f>
        <v>536.97</v>
      </c>
      <c r="H259" s="27">
        <f>DATE(YEAR(T_Ventes[[#This Row],[Date facture]]),MONTH(T_Ventes[[#This Row],[Date facture]]),1)</f>
        <v>45809</v>
      </c>
      <c r="I259" s="28">
        <f>YEAR(T_Ventes[[#This Row],[Date facture]])</f>
        <v>2025</v>
      </c>
    </row>
    <row r="260" spans="1:9" x14ac:dyDescent="0.3">
      <c r="A260" s="23">
        <v>45828</v>
      </c>
      <c r="B260" s="24" t="s">
        <v>353</v>
      </c>
      <c r="C260" s="24" t="s">
        <v>354</v>
      </c>
      <c r="D260" s="24" t="s">
        <v>64</v>
      </c>
      <c r="E260" s="25">
        <v>5850.27</v>
      </c>
      <c r="F260" s="25">
        <v>4385.4399999999996</v>
      </c>
      <c r="G260" s="26">
        <f>T_Ventes[[#This Row],[CA HT]]-T_Ventes[[#This Row],[Coût achat HT]]</f>
        <v>1464.8300000000008</v>
      </c>
      <c r="H260" s="27">
        <f>DATE(YEAR(T_Ventes[[#This Row],[Date facture]]),MONTH(T_Ventes[[#This Row],[Date facture]]),1)</f>
        <v>45809</v>
      </c>
      <c r="I260" s="28">
        <f>YEAR(T_Ventes[[#This Row],[Date facture]])</f>
        <v>2025</v>
      </c>
    </row>
    <row r="261" spans="1:9" x14ac:dyDescent="0.3">
      <c r="A261" s="23">
        <v>45828</v>
      </c>
      <c r="B261" s="24" t="s">
        <v>355</v>
      </c>
      <c r="C261" s="24" t="s">
        <v>90</v>
      </c>
      <c r="D261" s="24" t="s">
        <v>64</v>
      </c>
      <c r="E261" s="25">
        <v>4708.38</v>
      </c>
      <c r="F261" s="25">
        <v>3618.19</v>
      </c>
      <c r="G261" s="26">
        <f>T_Ventes[[#This Row],[CA HT]]-T_Ventes[[#This Row],[Coût achat HT]]</f>
        <v>1090.19</v>
      </c>
      <c r="H261" s="27">
        <f>DATE(YEAR(T_Ventes[[#This Row],[Date facture]]),MONTH(T_Ventes[[#This Row],[Date facture]]),1)</f>
        <v>45809</v>
      </c>
      <c r="I261" s="28">
        <f>YEAR(T_Ventes[[#This Row],[Date facture]])</f>
        <v>2025</v>
      </c>
    </row>
    <row r="262" spans="1:9" x14ac:dyDescent="0.3">
      <c r="A262" s="23">
        <v>45829</v>
      </c>
      <c r="B262" s="24" t="s">
        <v>356</v>
      </c>
      <c r="C262" s="24" t="s">
        <v>108</v>
      </c>
      <c r="D262" s="24" t="s">
        <v>57</v>
      </c>
      <c r="E262" s="25">
        <v>3733.91</v>
      </c>
      <c r="F262" s="25">
        <v>2520.34</v>
      </c>
      <c r="G262" s="26">
        <f>T_Ventes[[#This Row],[CA HT]]-T_Ventes[[#This Row],[Coût achat HT]]</f>
        <v>1213.5699999999997</v>
      </c>
      <c r="H262" s="27">
        <f>DATE(YEAR(T_Ventes[[#This Row],[Date facture]]),MONTH(T_Ventes[[#This Row],[Date facture]]),1)</f>
        <v>45809</v>
      </c>
      <c r="I262" s="28">
        <f>YEAR(T_Ventes[[#This Row],[Date facture]])</f>
        <v>2025</v>
      </c>
    </row>
    <row r="263" spans="1:9" x14ac:dyDescent="0.3">
      <c r="A263" s="23">
        <v>45830</v>
      </c>
      <c r="B263" s="24" t="s">
        <v>357</v>
      </c>
      <c r="C263" s="24" t="s">
        <v>108</v>
      </c>
      <c r="D263" s="24" t="s">
        <v>64</v>
      </c>
      <c r="E263" s="25">
        <v>1684.18</v>
      </c>
      <c r="F263" s="25">
        <v>1262.1199999999999</v>
      </c>
      <c r="G263" s="26">
        <f>T_Ventes[[#This Row],[CA HT]]-T_Ventes[[#This Row],[Coût achat HT]]</f>
        <v>422.06000000000017</v>
      </c>
      <c r="H263" s="27">
        <f>DATE(YEAR(T_Ventes[[#This Row],[Date facture]]),MONTH(T_Ventes[[#This Row],[Date facture]]),1)</f>
        <v>45809</v>
      </c>
      <c r="I263" s="28">
        <f>YEAR(T_Ventes[[#This Row],[Date facture]])</f>
        <v>2025</v>
      </c>
    </row>
    <row r="264" spans="1:9" x14ac:dyDescent="0.3">
      <c r="A264" s="23">
        <v>45831</v>
      </c>
      <c r="B264" s="24" t="s">
        <v>358</v>
      </c>
      <c r="C264" s="24" t="s">
        <v>76</v>
      </c>
      <c r="D264" s="24" t="s">
        <v>64</v>
      </c>
      <c r="E264" s="25">
        <v>1344.21</v>
      </c>
      <c r="F264" s="25">
        <v>1034.5999999999999</v>
      </c>
      <c r="G264" s="26">
        <f>T_Ventes[[#This Row],[CA HT]]-T_Ventes[[#This Row],[Coût achat HT]]</f>
        <v>309.61000000000013</v>
      </c>
      <c r="H264" s="27">
        <f>DATE(YEAR(T_Ventes[[#This Row],[Date facture]]),MONTH(T_Ventes[[#This Row],[Date facture]]),1)</f>
        <v>45809</v>
      </c>
      <c r="I264" s="28">
        <f>YEAR(T_Ventes[[#This Row],[Date facture]])</f>
        <v>2025</v>
      </c>
    </row>
    <row r="265" spans="1:9" x14ac:dyDescent="0.3">
      <c r="A265" s="23">
        <v>45831</v>
      </c>
      <c r="B265" s="24" t="s">
        <v>359</v>
      </c>
      <c r="C265" s="24" t="s">
        <v>115</v>
      </c>
      <c r="D265" s="24" t="s">
        <v>57</v>
      </c>
      <c r="E265" s="25">
        <v>5757.55</v>
      </c>
      <c r="F265" s="25">
        <v>3706.27</v>
      </c>
      <c r="G265" s="26">
        <f>T_Ventes[[#This Row],[CA HT]]-T_Ventes[[#This Row],[Coût achat HT]]</f>
        <v>2051.2800000000002</v>
      </c>
      <c r="H265" s="27">
        <f>DATE(YEAR(T_Ventes[[#This Row],[Date facture]]),MONTH(T_Ventes[[#This Row],[Date facture]]),1)</f>
        <v>45809</v>
      </c>
      <c r="I265" s="28">
        <f>YEAR(T_Ventes[[#This Row],[Date facture]])</f>
        <v>2025</v>
      </c>
    </row>
    <row r="266" spans="1:9" x14ac:dyDescent="0.3">
      <c r="A266" s="23">
        <v>45832</v>
      </c>
      <c r="B266" s="24" t="s">
        <v>360</v>
      </c>
      <c r="C266" s="24" t="s">
        <v>84</v>
      </c>
      <c r="D266" s="24" t="s">
        <v>64</v>
      </c>
      <c r="E266" s="25">
        <v>2451.92</v>
      </c>
      <c r="F266" s="25">
        <v>1891.65</v>
      </c>
      <c r="G266" s="26">
        <f>T_Ventes[[#This Row],[CA HT]]-T_Ventes[[#This Row],[Coût achat HT]]</f>
        <v>560.27</v>
      </c>
      <c r="H266" s="27">
        <f>DATE(YEAR(T_Ventes[[#This Row],[Date facture]]),MONTH(T_Ventes[[#This Row],[Date facture]]),1)</f>
        <v>45809</v>
      </c>
      <c r="I266" s="28">
        <f>YEAR(T_Ventes[[#This Row],[Date facture]])</f>
        <v>2025</v>
      </c>
    </row>
    <row r="267" spans="1:9" x14ac:dyDescent="0.3">
      <c r="A267" s="23">
        <v>45832</v>
      </c>
      <c r="B267" s="24" t="s">
        <v>361</v>
      </c>
      <c r="C267" s="24" t="s">
        <v>87</v>
      </c>
      <c r="D267" s="24" t="s">
        <v>71</v>
      </c>
      <c r="E267" s="25">
        <v>5487.74</v>
      </c>
      <c r="F267" s="25">
        <v>3343.71</v>
      </c>
      <c r="G267" s="26">
        <f>T_Ventes[[#This Row],[CA HT]]-T_Ventes[[#This Row],[Coût achat HT]]</f>
        <v>2144.0299999999997</v>
      </c>
      <c r="H267" s="27">
        <f>DATE(YEAR(T_Ventes[[#This Row],[Date facture]]),MONTH(T_Ventes[[#This Row],[Date facture]]),1)</f>
        <v>45809</v>
      </c>
      <c r="I267" s="28">
        <f>YEAR(T_Ventes[[#This Row],[Date facture]])</f>
        <v>2025</v>
      </c>
    </row>
    <row r="268" spans="1:9" x14ac:dyDescent="0.3">
      <c r="A268" s="23">
        <v>45835</v>
      </c>
      <c r="B268" s="24" t="s">
        <v>362</v>
      </c>
      <c r="C268" s="24" t="s">
        <v>73</v>
      </c>
      <c r="D268" s="24" t="s">
        <v>64</v>
      </c>
      <c r="E268" s="25">
        <v>5049.99</v>
      </c>
      <c r="F268" s="25">
        <v>3781.54</v>
      </c>
      <c r="G268" s="26">
        <f>T_Ventes[[#This Row],[CA HT]]-T_Ventes[[#This Row],[Coût achat HT]]</f>
        <v>1268.4499999999998</v>
      </c>
      <c r="H268" s="27">
        <f>DATE(YEAR(T_Ventes[[#This Row],[Date facture]]),MONTH(T_Ventes[[#This Row],[Date facture]]),1)</f>
        <v>45809</v>
      </c>
      <c r="I268" s="28">
        <f>YEAR(T_Ventes[[#This Row],[Date facture]])</f>
        <v>2025</v>
      </c>
    </row>
    <row r="269" spans="1:9" x14ac:dyDescent="0.3">
      <c r="A269" s="23">
        <v>45835</v>
      </c>
      <c r="B269" s="24" t="s">
        <v>363</v>
      </c>
      <c r="C269" s="24" t="s">
        <v>115</v>
      </c>
      <c r="D269" s="24" t="s">
        <v>64</v>
      </c>
      <c r="E269" s="25">
        <v>6572.84</v>
      </c>
      <c r="F269" s="25">
        <v>4946.5</v>
      </c>
      <c r="G269" s="26">
        <f>T_Ventes[[#This Row],[CA HT]]-T_Ventes[[#This Row],[Coût achat HT]]</f>
        <v>1626.3400000000001</v>
      </c>
      <c r="H269" s="27">
        <f>DATE(YEAR(T_Ventes[[#This Row],[Date facture]]),MONTH(T_Ventes[[#This Row],[Date facture]]),1)</f>
        <v>45809</v>
      </c>
      <c r="I269" s="28">
        <f>YEAR(T_Ventes[[#This Row],[Date facture]])</f>
        <v>2025</v>
      </c>
    </row>
    <row r="270" spans="1:9" x14ac:dyDescent="0.3">
      <c r="A270" s="23">
        <v>45835</v>
      </c>
      <c r="B270" s="24" t="s">
        <v>364</v>
      </c>
      <c r="C270" s="24" t="s">
        <v>152</v>
      </c>
      <c r="D270" s="24" t="s">
        <v>71</v>
      </c>
      <c r="E270" s="25">
        <v>3642.42</v>
      </c>
      <c r="F270" s="25">
        <v>2148.13</v>
      </c>
      <c r="G270" s="26">
        <f>T_Ventes[[#This Row],[CA HT]]-T_Ventes[[#This Row],[Coût achat HT]]</f>
        <v>1494.29</v>
      </c>
      <c r="H270" s="27">
        <f>DATE(YEAR(T_Ventes[[#This Row],[Date facture]]),MONTH(T_Ventes[[#This Row],[Date facture]]),1)</f>
        <v>45809</v>
      </c>
      <c r="I270" s="28">
        <f>YEAR(T_Ventes[[#This Row],[Date facture]])</f>
        <v>2025</v>
      </c>
    </row>
    <row r="271" spans="1:9" x14ac:dyDescent="0.3">
      <c r="A271" s="23">
        <v>45835</v>
      </c>
      <c r="B271" s="24" t="s">
        <v>365</v>
      </c>
      <c r="C271" s="24" t="s">
        <v>247</v>
      </c>
      <c r="D271" s="24" t="s">
        <v>71</v>
      </c>
      <c r="E271" s="25">
        <v>4955.6499999999996</v>
      </c>
      <c r="F271" s="25">
        <v>2872.79</v>
      </c>
      <c r="G271" s="26">
        <f>T_Ventes[[#This Row],[CA HT]]-T_Ventes[[#This Row],[Coût achat HT]]</f>
        <v>2082.8599999999997</v>
      </c>
      <c r="H271" s="27">
        <f>DATE(YEAR(T_Ventes[[#This Row],[Date facture]]),MONTH(T_Ventes[[#This Row],[Date facture]]),1)</f>
        <v>45809</v>
      </c>
      <c r="I271" s="28">
        <f>YEAR(T_Ventes[[#This Row],[Date facture]])</f>
        <v>2025</v>
      </c>
    </row>
    <row r="272" spans="1:9" x14ac:dyDescent="0.3">
      <c r="A272" s="23">
        <v>45840</v>
      </c>
      <c r="B272" s="24" t="s">
        <v>366</v>
      </c>
      <c r="C272" s="24" t="s">
        <v>66</v>
      </c>
      <c r="D272" s="24" t="s">
        <v>64</v>
      </c>
      <c r="E272" s="25">
        <v>5390.96</v>
      </c>
      <c r="F272" s="25">
        <v>4106.43</v>
      </c>
      <c r="G272" s="26">
        <f>T_Ventes[[#This Row],[CA HT]]-T_Ventes[[#This Row],[Coût achat HT]]</f>
        <v>1284.5299999999997</v>
      </c>
      <c r="H272" s="27">
        <f>DATE(YEAR(T_Ventes[[#This Row],[Date facture]]),MONTH(T_Ventes[[#This Row],[Date facture]]),1)</f>
        <v>45839</v>
      </c>
      <c r="I272" s="28">
        <f>YEAR(T_Ventes[[#This Row],[Date facture]])</f>
        <v>2025</v>
      </c>
    </row>
    <row r="273" spans="1:9" x14ac:dyDescent="0.3">
      <c r="A273" s="23">
        <v>45840</v>
      </c>
      <c r="B273" s="24" t="s">
        <v>367</v>
      </c>
      <c r="C273" s="24" t="s">
        <v>56</v>
      </c>
      <c r="D273" s="24" t="s">
        <v>71</v>
      </c>
      <c r="E273" s="25">
        <v>1572.7</v>
      </c>
      <c r="F273" s="25">
        <v>948.75</v>
      </c>
      <c r="G273" s="26">
        <f>T_Ventes[[#This Row],[CA HT]]-T_Ventes[[#This Row],[Coût achat HT]]</f>
        <v>623.95000000000005</v>
      </c>
      <c r="H273" s="27">
        <f>DATE(YEAR(T_Ventes[[#This Row],[Date facture]]),MONTH(T_Ventes[[#This Row],[Date facture]]),1)</f>
        <v>45839</v>
      </c>
      <c r="I273" s="28">
        <f>YEAR(T_Ventes[[#This Row],[Date facture]])</f>
        <v>2025</v>
      </c>
    </row>
    <row r="274" spans="1:9" x14ac:dyDescent="0.3">
      <c r="A274" s="23">
        <v>45840</v>
      </c>
      <c r="B274" s="24" t="s">
        <v>368</v>
      </c>
      <c r="C274" s="24" t="s">
        <v>115</v>
      </c>
      <c r="D274" s="24" t="s">
        <v>71</v>
      </c>
      <c r="E274" s="25">
        <v>6882.5</v>
      </c>
      <c r="F274" s="25">
        <v>4171.26</v>
      </c>
      <c r="G274" s="26">
        <f>T_Ventes[[#This Row],[CA HT]]-T_Ventes[[#This Row],[Coût achat HT]]</f>
        <v>2711.24</v>
      </c>
      <c r="H274" s="27">
        <f>DATE(YEAR(T_Ventes[[#This Row],[Date facture]]),MONTH(T_Ventes[[#This Row],[Date facture]]),1)</f>
        <v>45839</v>
      </c>
      <c r="I274" s="28">
        <f>YEAR(T_Ventes[[#This Row],[Date facture]])</f>
        <v>2025</v>
      </c>
    </row>
    <row r="275" spans="1:9" x14ac:dyDescent="0.3">
      <c r="A275" s="23">
        <v>45841</v>
      </c>
      <c r="B275" s="24" t="s">
        <v>369</v>
      </c>
      <c r="C275" s="24" t="s">
        <v>76</v>
      </c>
      <c r="D275" s="24" t="s">
        <v>64</v>
      </c>
      <c r="E275" s="25">
        <v>5547.48</v>
      </c>
      <c r="F275" s="25">
        <v>4274.49</v>
      </c>
      <c r="G275" s="26">
        <f>T_Ventes[[#This Row],[CA HT]]-T_Ventes[[#This Row],[Coût achat HT]]</f>
        <v>1272.9899999999998</v>
      </c>
      <c r="H275" s="27">
        <f>DATE(YEAR(T_Ventes[[#This Row],[Date facture]]),MONTH(T_Ventes[[#This Row],[Date facture]]),1)</f>
        <v>45839</v>
      </c>
      <c r="I275" s="28">
        <f>YEAR(T_Ventes[[#This Row],[Date facture]])</f>
        <v>2025</v>
      </c>
    </row>
    <row r="276" spans="1:9" x14ac:dyDescent="0.3">
      <c r="A276" s="23">
        <v>45841</v>
      </c>
      <c r="B276" s="24" t="s">
        <v>370</v>
      </c>
      <c r="C276" s="24" t="s">
        <v>80</v>
      </c>
      <c r="D276" s="24" t="s">
        <v>64</v>
      </c>
      <c r="E276" s="25">
        <v>5726.48</v>
      </c>
      <c r="F276" s="25">
        <v>4345.9399999999996</v>
      </c>
      <c r="G276" s="26">
        <f>T_Ventes[[#This Row],[CA HT]]-T_Ventes[[#This Row],[Coût achat HT]]</f>
        <v>1380.54</v>
      </c>
      <c r="H276" s="27">
        <f>DATE(YEAR(T_Ventes[[#This Row],[Date facture]]),MONTH(T_Ventes[[#This Row],[Date facture]]),1)</f>
        <v>45839</v>
      </c>
      <c r="I276" s="28">
        <f>YEAR(T_Ventes[[#This Row],[Date facture]])</f>
        <v>2025</v>
      </c>
    </row>
    <row r="277" spans="1:9" x14ac:dyDescent="0.3">
      <c r="A277" s="23">
        <v>45841</v>
      </c>
      <c r="B277" s="24" t="s">
        <v>371</v>
      </c>
      <c r="C277" s="24" t="s">
        <v>103</v>
      </c>
      <c r="D277" s="24" t="s">
        <v>71</v>
      </c>
      <c r="E277" s="25">
        <v>2824.45</v>
      </c>
      <c r="F277" s="25">
        <v>1632.35</v>
      </c>
      <c r="G277" s="26">
        <f>T_Ventes[[#This Row],[CA HT]]-T_Ventes[[#This Row],[Coût achat HT]]</f>
        <v>1192.0999999999999</v>
      </c>
      <c r="H277" s="27">
        <f>DATE(YEAR(T_Ventes[[#This Row],[Date facture]]),MONTH(T_Ventes[[#This Row],[Date facture]]),1)</f>
        <v>45839</v>
      </c>
      <c r="I277" s="28">
        <f>YEAR(T_Ventes[[#This Row],[Date facture]])</f>
        <v>2025</v>
      </c>
    </row>
    <row r="278" spans="1:9" x14ac:dyDescent="0.3">
      <c r="A278" s="23">
        <v>45841</v>
      </c>
      <c r="B278" s="24" t="s">
        <v>372</v>
      </c>
      <c r="C278" s="24" t="s">
        <v>348</v>
      </c>
      <c r="D278" s="24" t="s">
        <v>71</v>
      </c>
      <c r="E278" s="25">
        <v>2508.73</v>
      </c>
      <c r="F278" s="25">
        <v>1441.64</v>
      </c>
      <c r="G278" s="26">
        <f>T_Ventes[[#This Row],[CA HT]]-T_Ventes[[#This Row],[Coût achat HT]]</f>
        <v>1067.0899999999999</v>
      </c>
      <c r="H278" s="27">
        <f>DATE(YEAR(T_Ventes[[#This Row],[Date facture]]),MONTH(T_Ventes[[#This Row],[Date facture]]),1)</f>
        <v>45839</v>
      </c>
      <c r="I278" s="28">
        <f>YEAR(T_Ventes[[#This Row],[Date facture]])</f>
        <v>2025</v>
      </c>
    </row>
    <row r="279" spans="1:9" x14ac:dyDescent="0.3">
      <c r="A279" s="23">
        <v>45844</v>
      </c>
      <c r="B279" s="24" t="s">
        <v>373</v>
      </c>
      <c r="C279" s="24" t="s">
        <v>56</v>
      </c>
      <c r="D279" s="24" t="s">
        <v>64</v>
      </c>
      <c r="E279" s="25">
        <v>2059.1999999999998</v>
      </c>
      <c r="F279" s="25">
        <v>1582.7</v>
      </c>
      <c r="G279" s="26">
        <f>T_Ventes[[#This Row],[CA HT]]-T_Ventes[[#This Row],[Coût achat HT]]</f>
        <v>476.49999999999977</v>
      </c>
      <c r="H279" s="27">
        <f>DATE(YEAR(T_Ventes[[#This Row],[Date facture]]),MONTH(T_Ventes[[#This Row],[Date facture]]),1)</f>
        <v>45839</v>
      </c>
      <c r="I279" s="28">
        <f>YEAR(T_Ventes[[#This Row],[Date facture]])</f>
        <v>2025</v>
      </c>
    </row>
    <row r="280" spans="1:9" x14ac:dyDescent="0.3">
      <c r="A280" s="23">
        <v>45844</v>
      </c>
      <c r="B280" s="24" t="s">
        <v>374</v>
      </c>
      <c r="C280" s="24" t="s">
        <v>90</v>
      </c>
      <c r="D280" s="24" t="s">
        <v>64</v>
      </c>
      <c r="E280" s="25">
        <v>6384.24</v>
      </c>
      <c r="F280" s="25">
        <v>4889.8599999999997</v>
      </c>
      <c r="G280" s="26">
        <f>T_Ventes[[#This Row],[CA HT]]-T_Ventes[[#This Row],[Coût achat HT]]</f>
        <v>1494.38</v>
      </c>
      <c r="H280" s="27">
        <f>DATE(YEAR(T_Ventes[[#This Row],[Date facture]]),MONTH(T_Ventes[[#This Row],[Date facture]]),1)</f>
        <v>45839</v>
      </c>
      <c r="I280" s="28">
        <f>YEAR(T_Ventes[[#This Row],[Date facture]])</f>
        <v>2025</v>
      </c>
    </row>
    <row r="281" spans="1:9" x14ac:dyDescent="0.3">
      <c r="A281" s="23">
        <v>45846</v>
      </c>
      <c r="B281" s="24" t="s">
        <v>375</v>
      </c>
      <c r="C281" s="24" t="s">
        <v>66</v>
      </c>
      <c r="D281" s="24" t="s">
        <v>64</v>
      </c>
      <c r="E281" s="25">
        <v>2922.41</v>
      </c>
      <c r="F281" s="25">
        <v>2231.5500000000002</v>
      </c>
      <c r="G281" s="26">
        <f>T_Ventes[[#This Row],[CA HT]]-T_Ventes[[#This Row],[Coût achat HT]]</f>
        <v>690.85999999999967</v>
      </c>
      <c r="H281" s="27">
        <f>DATE(YEAR(T_Ventes[[#This Row],[Date facture]]),MONTH(T_Ventes[[#This Row],[Date facture]]),1)</f>
        <v>45839</v>
      </c>
      <c r="I281" s="28">
        <f>YEAR(T_Ventes[[#This Row],[Date facture]])</f>
        <v>2025</v>
      </c>
    </row>
    <row r="282" spans="1:9" x14ac:dyDescent="0.3">
      <c r="A282" s="23">
        <v>45846</v>
      </c>
      <c r="B282" s="24" t="s">
        <v>376</v>
      </c>
      <c r="C282" s="24" t="s">
        <v>73</v>
      </c>
      <c r="D282" s="24" t="s">
        <v>64</v>
      </c>
      <c r="E282" s="25">
        <v>3476.1</v>
      </c>
      <c r="F282" s="25">
        <v>2620.7800000000002</v>
      </c>
      <c r="G282" s="26">
        <f>T_Ventes[[#This Row],[CA HT]]-T_Ventes[[#This Row],[Coût achat HT]]</f>
        <v>855.31999999999971</v>
      </c>
      <c r="H282" s="27">
        <f>DATE(YEAR(T_Ventes[[#This Row],[Date facture]]),MONTH(T_Ventes[[#This Row],[Date facture]]),1)</f>
        <v>45839</v>
      </c>
      <c r="I282" s="28">
        <f>YEAR(T_Ventes[[#This Row],[Date facture]])</f>
        <v>2025</v>
      </c>
    </row>
    <row r="283" spans="1:9" x14ac:dyDescent="0.3">
      <c r="A283" s="23">
        <v>45846</v>
      </c>
      <c r="B283" s="24" t="s">
        <v>377</v>
      </c>
      <c r="C283" s="24" t="s">
        <v>208</v>
      </c>
      <c r="D283" s="24" t="s">
        <v>64</v>
      </c>
      <c r="E283" s="25">
        <v>4056.33</v>
      </c>
      <c r="F283" s="25">
        <v>3072.6</v>
      </c>
      <c r="G283" s="26">
        <f>T_Ventes[[#This Row],[CA HT]]-T_Ventes[[#This Row],[Coût achat HT]]</f>
        <v>983.73</v>
      </c>
      <c r="H283" s="27">
        <f>DATE(YEAR(T_Ventes[[#This Row],[Date facture]]),MONTH(T_Ventes[[#This Row],[Date facture]]),1)</f>
        <v>45839</v>
      </c>
      <c r="I283" s="28">
        <f>YEAR(T_Ventes[[#This Row],[Date facture]])</f>
        <v>2025</v>
      </c>
    </row>
    <row r="284" spans="1:9" x14ac:dyDescent="0.3">
      <c r="A284" s="23">
        <v>45847</v>
      </c>
      <c r="B284" s="24" t="s">
        <v>378</v>
      </c>
      <c r="C284" s="24" t="s">
        <v>80</v>
      </c>
      <c r="D284" s="24" t="s">
        <v>64</v>
      </c>
      <c r="E284" s="25">
        <v>1191.8699999999999</v>
      </c>
      <c r="F284" s="25">
        <v>893.45</v>
      </c>
      <c r="G284" s="26">
        <f>T_Ventes[[#This Row],[CA HT]]-T_Ventes[[#This Row],[Coût achat HT]]</f>
        <v>298.41999999999985</v>
      </c>
      <c r="H284" s="27">
        <f>DATE(YEAR(T_Ventes[[#This Row],[Date facture]]),MONTH(T_Ventes[[#This Row],[Date facture]]),1)</f>
        <v>45839</v>
      </c>
      <c r="I284" s="28">
        <f>YEAR(T_Ventes[[#This Row],[Date facture]])</f>
        <v>2025</v>
      </c>
    </row>
    <row r="285" spans="1:9" x14ac:dyDescent="0.3">
      <c r="A285" s="23">
        <v>45847</v>
      </c>
      <c r="B285" s="24" t="s">
        <v>379</v>
      </c>
      <c r="C285" s="24" t="s">
        <v>292</v>
      </c>
      <c r="D285" s="24" t="s">
        <v>57</v>
      </c>
      <c r="E285" s="25">
        <v>6592</v>
      </c>
      <c r="F285" s="25">
        <v>4460.54</v>
      </c>
      <c r="G285" s="26">
        <f>T_Ventes[[#This Row],[CA HT]]-T_Ventes[[#This Row],[Coût achat HT]]</f>
        <v>2131.46</v>
      </c>
      <c r="H285" s="27">
        <f>DATE(YEAR(T_Ventes[[#This Row],[Date facture]]),MONTH(T_Ventes[[#This Row],[Date facture]]),1)</f>
        <v>45839</v>
      </c>
      <c r="I285" s="28">
        <f>YEAR(T_Ventes[[#This Row],[Date facture]])</f>
        <v>2025</v>
      </c>
    </row>
    <row r="286" spans="1:9" x14ac:dyDescent="0.3">
      <c r="A286" s="23">
        <v>45848</v>
      </c>
      <c r="B286" s="24" t="s">
        <v>380</v>
      </c>
      <c r="C286" s="24" t="s">
        <v>66</v>
      </c>
      <c r="D286" s="24" t="s">
        <v>64</v>
      </c>
      <c r="E286" s="25">
        <v>1788.09</v>
      </c>
      <c r="F286" s="25">
        <v>1343.83</v>
      </c>
      <c r="G286" s="26">
        <f>T_Ventes[[#This Row],[CA HT]]-T_Ventes[[#This Row],[Coût achat HT]]</f>
        <v>444.26</v>
      </c>
      <c r="H286" s="27">
        <f>DATE(YEAR(T_Ventes[[#This Row],[Date facture]]),MONTH(T_Ventes[[#This Row],[Date facture]]),1)</f>
        <v>45839</v>
      </c>
      <c r="I286" s="28">
        <f>YEAR(T_Ventes[[#This Row],[Date facture]])</f>
        <v>2025</v>
      </c>
    </row>
    <row r="287" spans="1:9" x14ac:dyDescent="0.3">
      <c r="A287" s="23">
        <v>45848</v>
      </c>
      <c r="B287" s="24" t="s">
        <v>381</v>
      </c>
      <c r="C287" s="24" t="s">
        <v>56</v>
      </c>
      <c r="D287" s="24" t="s">
        <v>59</v>
      </c>
      <c r="E287" s="25">
        <v>5652.91</v>
      </c>
      <c r="F287" s="25">
        <v>2099.19</v>
      </c>
      <c r="G287" s="26">
        <f>T_Ventes[[#This Row],[CA HT]]-T_Ventes[[#This Row],[Coût achat HT]]</f>
        <v>3553.72</v>
      </c>
      <c r="H287" s="27">
        <f>DATE(YEAR(T_Ventes[[#This Row],[Date facture]]),MONTH(T_Ventes[[#This Row],[Date facture]]),1)</f>
        <v>45839</v>
      </c>
      <c r="I287" s="28">
        <f>YEAR(T_Ventes[[#This Row],[Date facture]])</f>
        <v>2025</v>
      </c>
    </row>
    <row r="288" spans="1:9" x14ac:dyDescent="0.3">
      <c r="A288" s="23">
        <v>45850</v>
      </c>
      <c r="B288" s="24" t="s">
        <v>382</v>
      </c>
      <c r="C288" s="24" t="s">
        <v>87</v>
      </c>
      <c r="D288" s="24" t="s">
        <v>57</v>
      </c>
      <c r="E288" s="25">
        <v>6571.36</v>
      </c>
      <c r="F288" s="25">
        <v>4227.0200000000004</v>
      </c>
      <c r="G288" s="26">
        <f>T_Ventes[[#This Row],[CA HT]]-T_Ventes[[#This Row],[Coût achat HT]]</f>
        <v>2344.3399999999992</v>
      </c>
      <c r="H288" s="27">
        <f>DATE(YEAR(T_Ventes[[#This Row],[Date facture]]),MONTH(T_Ventes[[#This Row],[Date facture]]),1)</f>
        <v>45839</v>
      </c>
      <c r="I288" s="28">
        <f>YEAR(T_Ventes[[#This Row],[Date facture]])</f>
        <v>2025</v>
      </c>
    </row>
    <row r="289" spans="1:9" x14ac:dyDescent="0.3">
      <c r="A289" s="23">
        <v>45850</v>
      </c>
      <c r="B289" s="24" t="s">
        <v>383</v>
      </c>
      <c r="C289" s="24" t="s">
        <v>66</v>
      </c>
      <c r="D289" s="24" t="s">
        <v>57</v>
      </c>
      <c r="E289" s="25">
        <v>3047.12</v>
      </c>
      <c r="F289" s="25">
        <v>2026.57</v>
      </c>
      <c r="G289" s="26">
        <f>T_Ventes[[#This Row],[CA HT]]-T_Ventes[[#This Row],[Coût achat HT]]</f>
        <v>1020.55</v>
      </c>
      <c r="H289" s="27">
        <f>DATE(YEAR(T_Ventes[[#This Row],[Date facture]]),MONTH(T_Ventes[[#This Row],[Date facture]]),1)</f>
        <v>45839</v>
      </c>
      <c r="I289" s="28">
        <f>YEAR(T_Ventes[[#This Row],[Date facture]])</f>
        <v>2025</v>
      </c>
    </row>
    <row r="290" spans="1:9" x14ac:dyDescent="0.3">
      <c r="A290" s="23">
        <v>45850</v>
      </c>
      <c r="B290" s="24" t="s">
        <v>384</v>
      </c>
      <c r="C290" s="24" t="s">
        <v>63</v>
      </c>
      <c r="D290" s="24" t="s">
        <v>59</v>
      </c>
      <c r="E290" s="25">
        <v>3871.11</v>
      </c>
      <c r="F290" s="25">
        <v>1390.71</v>
      </c>
      <c r="G290" s="26">
        <f>T_Ventes[[#This Row],[CA HT]]-T_Ventes[[#This Row],[Coût achat HT]]</f>
        <v>2480.4</v>
      </c>
      <c r="H290" s="27">
        <f>DATE(YEAR(T_Ventes[[#This Row],[Date facture]]),MONTH(T_Ventes[[#This Row],[Date facture]]),1)</f>
        <v>45839</v>
      </c>
      <c r="I290" s="28">
        <f>YEAR(T_Ventes[[#This Row],[Date facture]])</f>
        <v>2025</v>
      </c>
    </row>
    <row r="291" spans="1:9" x14ac:dyDescent="0.3">
      <c r="A291" s="23">
        <v>45851</v>
      </c>
      <c r="B291" s="24" t="s">
        <v>385</v>
      </c>
      <c r="C291" s="24" t="s">
        <v>96</v>
      </c>
      <c r="D291" s="24" t="s">
        <v>57</v>
      </c>
      <c r="E291" s="25">
        <v>6304.62</v>
      </c>
      <c r="F291" s="25">
        <v>4136.9799999999996</v>
      </c>
      <c r="G291" s="26">
        <f>T_Ventes[[#This Row],[CA HT]]-T_Ventes[[#This Row],[Coût achat HT]]</f>
        <v>2167.6400000000003</v>
      </c>
      <c r="H291" s="27">
        <f>DATE(YEAR(T_Ventes[[#This Row],[Date facture]]),MONTH(T_Ventes[[#This Row],[Date facture]]),1)</f>
        <v>45839</v>
      </c>
      <c r="I291" s="28">
        <f>YEAR(T_Ventes[[#This Row],[Date facture]])</f>
        <v>2025</v>
      </c>
    </row>
    <row r="292" spans="1:9" x14ac:dyDescent="0.3">
      <c r="A292" s="23">
        <v>45852</v>
      </c>
      <c r="B292" s="24" t="s">
        <v>386</v>
      </c>
      <c r="C292" s="24" t="s">
        <v>123</v>
      </c>
      <c r="D292" s="24" t="s">
        <v>64</v>
      </c>
      <c r="E292" s="25">
        <v>6216.21</v>
      </c>
      <c r="F292" s="25">
        <v>4786.57</v>
      </c>
      <c r="G292" s="26">
        <f>T_Ventes[[#This Row],[CA HT]]-T_Ventes[[#This Row],[Coût achat HT]]</f>
        <v>1429.6400000000003</v>
      </c>
      <c r="H292" s="27">
        <f>DATE(YEAR(T_Ventes[[#This Row],[Date facture]]),MONTH(T_Ventes[[#This Row],[Date facture]]),1)</f>
        <v>45839</v>
      </c>
      <c r="I292" s="28">
        <f>YEAR(T_Ventes[[#This Row],[Date facture]])</f>
        <v>2025</v>
      </c>
    </row>
    <row r="293" spans="1:9" x14ac:dyDescent="0.3">
      <c r="A293" s="23">
        <v>45852</v>
      </c>
      <c r="B293" s="24" t="s">
        <v>387</v>
      </c>
      <c r="C293" s="24" t="s">
        <v>76</v>
      </c>
      <c r="D293" s="24" t="s">
        <v>57</v>
      </c>
      <c r="E293" s="25">
        <v>4926.45</v>
      </c>
      <c r="F293" s="25">
        <v>3234.17</v>
      </c>
      <c r="G293" s="26">
        <f>T_Ventes[[#This Row],[CA HT]]-T_Ventes[[#This Row],[Coût achat HT]]</f>
        <v>1692.2799999999997</v>
      </c>
      <c r="H293" s="27">
        <f>DATE(YEAR(T_Ventes[[#This Row],[Date facture]]),MONTH(T_Ventes[[#This Row],[Date facture]]),1)</f>
        <v>45839</v>
      </c>
      <c r="I293" s="28">
        <f>YEAR(T_Ventes[[#This Row],[Date facture]])</f>
        <v>2025</v>
      </c>
    </row>
    <row r="294" spans="1:9" x14ac:dyDescent="0.3">
      <c r="A294" s="23">
        <v>45852</v>
      </c>
      <c r="B294" s="24" t="s">
        <v>388</v>
      </c>
      <c r="C294" s="24" t="s">
        <v>80</v>
      </c>
      <c r="D294" s="24" t="s">
        <v>71</v>
      </c>
      <c r="E294" s="25">
        <v>7117.4</v>
      </c>
      <c r="F294" s="25">
        <v>4142.4399999999996</v>
      </c>
      <c r="G294" s="26">
        <f>T_Ventes[[#This Row],[CA HT]]-T_Ventes[[#This Row],[Coût achat HT]]</f>
        <v>2974.96</v>
      </c>
      <c r="H294" s="27">
        <f>DATE(YEAR(T_Ventes[[#This Row],[Date facture]]),MONTH(T_Ventes[[#This Row],[Date facture]]),1)</f>
        <v>45839</v>
      </c>
      <c r="I294" s="28">
        <f>YEAR(T_Ventes[[#This Row],[Date facture]])</f>
        <v>2025</v>
      </c>
    </row>
    <row r="295" spans="1:9" x14ac:dyDescent="0.3">
      <c r="A295" s="23">
        <v>45853</v>
      </c>
      <c r="B295" s="24" t="s">
        <v>389</v>
      </c>
      <c r="C295" s="24" t="s">
        <v>80</v>
      </c>
      <c r="D295" s="24" t="s">
        <v>59</v>
      </c>
      <c r="E295" s="25">
        <v>6246.16</v>
      </c>
      <c r="F295" s="25">
        <v>2547.4</v>
      </c>
      <c r="G295" s="26">
        <f>T_Ventes[[#This Row],[CA HT]]-T_Ventes[[#This Row],[Coût achat HT]]</f>
        <v>3698.7599999999998</v>
      </c>
      <c r="H295" s="27">
        <f>DATE(YEAR(T_Ventes[[#This Row],[Date facture]]),MONTH(T_Ventes[[#This Row],[Date facture]]),1)</f>
        <v>45839</v>
      </c>
      <c r="I295" s="28">
        <f>YEAR(T_Ventes[[#This Row],[Date facture]])</f>
        <v>2025</v>
      </c>
    </row>
    <row r="296" spans="1:9" x14ac:dyDescent="0.3">
      <c r="A296" s="23">
        <v>45854</v>
      </c>
      <c r="B296" s="24" t="s">
        <v>390</v>
      </c>
      <c r="C296" s="24" t="s">
        <v>73</v>
      </c>
      <c r="D296" s="24" t="s">
        <v>64</v>
      </c>
      <c r="E296" s="25">
        <v>2110.85</v>
      </c>
      <c r="F296" s="25">
        <v>1624.58</v>
      </c>
      <c r="G296" s="26">
        <f>T_Ventes[[#This Row],[CA HT]]-T_Ventes[[#This Row],[Coût achat HT]]</f>
        <v>486.27</v>
      </c>
      <c r="H296" s="27">
        <f>DATE(YEAR(T_Ventes[[#This Row],[Date facture]]),MONTH(T_Ventes[[#This Row],[Date facture]]),1)</f>
        <v>45839</v>
      </c>
      <c r="I296" s="28">
        <f>YEAR(T_Ventes[[#This Row],[Date facture]])</f>
        <v>2025</v>
      </c>
    </row>
    <row r="297" spans="1:9" x14ac:dyDescent="0.3">
      <c r="A297" s="23">
        <v>45856</v>
      </c>
      <c r="B297" s="24" t="s">
        <v>391</v>
      </c>
      <c r="C297" s="24" t="s">
        <v>128</v>
      </c>
      <c r="D297" s="24" t="s">
        <v>64</v>
      </c>
      <c r="E297" s="25">
        <v>5152.2700000000004</v>
      </c>
      <c r="F297" s="25">
        <v>3912.34</v>
      </c>
      <c r="G297" s="26">
        <f>T_Ventes[[#This Row],[CA HT]]-T_Ventes[[#This Row],[Coût achat HT]]</f>
        <v>1239.9300000000003</v>
      </c>
      <c r="H297" s="27">
        <f>DATE(YEAR(T_Ventes[[#This Row],[Date facture]]),MONTH(T_Ventes[[#This Row],[Date facture]]),1)</f>
        <v>45839</v>
      </c>
      <c r="I297" s="28">
        <f>YEAR(T_Ventes[[#This Row],[Date facture]])</f>
        <v>2025</v>
      </c>
    </row>
    <row r="298" spans="1:9" x14ac:dyDescent="0.3">
      <c r="A298" s="23">
        <v>45857</v>
      </c>
      <c r="B298" s="24" t="s">
        <v>392</v>
      </c>
      <c r="C298" s="24" t="s">
        <v>73</v>
      </c>
      <c r="D298" s="24" t="s">
        <v>57</v>
      </c>
      <c r="E298" s="25">
        <v>3161.26</v>
      </c>
      <c r="F298" s="25">
        <v>2138.62</v>
      </c>
      <c r="G298" s="26">
        <f>T_Ventes[[#This Row],[CA HT]]-T_Ventes[[#This Row],[Coût achat HT]]</f>
        <v>1022.6400000000003</v>
      </c>
      <c r="H298" s="27">
        <f>DATE(YEAR(T_Ventes[[#This Row],[Date facture]]),MONTH(T_Ventes[[#This Row],[Date facture]]),1)</f>
        <v>45839</v>
      </c>
      <c r="I298" s="28">
        <f>YEAR(T_Ventes[[#This Row],[Date facture]])</f>
        <v>2025</v>
      </c>
    </row>
    <row r="299" spans="1:9" x14ac:dyDescent="0.3">
      <c r="A299" s="23">
        <v>45858</v>
      </c>
      <c r="B299" s="24" t="s">
        <v>393</v>
      </c>
      <c r="C299" s="24" t="s">
        <v>292</v>
      </c>
      <c r="D299" s="24" t="s">
        <v>64</v>
      </c>
      <c r="E299" s="25">
        <v>1548.49</v>
      </c>
      <c r="F299" s="25">
        <v>1185.8399999999999</v>
      </c>
      <c r="G299" s="26">
        <f>T_Ventes[[#This Row],[CA HT]]-T_Ventes[[#This Row],[Coût achat HT]]</f>
        <v>362.65000000000009</v>
      </c>
      <c r="H299" s="27">
        <f>DATE(YEAR(T_Ventes[[#This Row],[Date facture]]),MONTH(T_Ventes[[#This Row],[Date facture]]),1)</f>
        <v>45839</v>
      </c>
      <c r="I299" s="28">
        <f>YEAR(T_Ventes[[#This Row],[Date facture]])</f>
        <v>2025</v>
      </c>
    </row>
    <row r="300" spans="1:9" x14ac:dyDescent="0.3">
      <c r="A300" s="23">
        <v>45858</v>
      </c>
      <c r="B300" s="24" t="s">
        <v>394</v>
      </c>
      <c r="C300" s="24" t="s">
        <v>73</v>
      </c>
      <c r="D300" s="24" t="s">
        <v>57</v>
      </c>
      <c r="E300" s="25">
        <v>2627.11</v>
      </c>
      <c r="F300" s="25">
        <v>1769.04</v>
      </c>
      <c r="G300" s="26">
        <f>T_Ventes[[#This Row],[CA HT]]-T_Ventes[[#This Row],[Coût achat HT]]</f>
        <v>858.07000000000016</v>
      </c>
      <c r="H300" s="27">
        <f>DATE(YEAR(T_Ventes[[#This Row],[Date facture]]),MONTH(T_Ventes[[#This Row],[Date facture]]),1)</f>
        <v>45839</v>
      </c>
      <c r="I300" s="28">
        <f>YEAR(T_Ventes[[#This Row],[Date facture]])</f>
        <v>2025</v>
      </c>
    </row>
    <row r="301" spans="1:9" x14ac:dyDescent="0.3">
      <c r="A301" s="23">
        <v>45858</v>
      </c>
      <c r="B301" s="24" t="s">
        <v>395</v>
      </c>
      <c r="C301" s="24" t="s">
        <v>63</v>
      </c>
      <c r="D301" s="24" t="s">
        <v>71</v>
      </c>
      <c r="E301" s="25">
        <v>3901.4</v>
      </c>
      <c r="F301" s="25">
        <v>2365.31</v>
      </c>
      <c r="G301" s="26">
        <f>T_Ventes[[#This Row],[CA HT]]-T_Ventes[[#This Row],[Coût achat HT]]</f>
        <v>1536.0900000000001</v>
      </c>
      <c r="H301" s="27">
        <f>DATE(YEAR(T_Ventes[[#This Row],[Date facture]]),MONTH(T_Ventes[[#This Row],[Date facture]]),1)</f>
        <v>45839</v>
      </c>
      <c r="I301" s="28">
        <f>YEAR(T_Ventes[[#This Row],[Date facture]])</f>
        <v>2025</v>
      </c>
    </row>
    <row r="302" spans="1:9" x14ac:dyDescent="0.3">
      <c r="A302" s="23">
        <v>45858</v>
      </c>
      <c r="B302" s="24" t="s">
        <v>396</v>
      </c>
      <c r="C302" s="24" t="s">
        <v>63</v>
      </c>
      <c r="D302" s="24" t="s">
        <v>71</v>
      </c>
      <c r="E302" s="25">
        <v>3606.07</v>
      </c>
      <c r="F302" s="25">
        <v>2107.94</v>
      </c>
      <c r="G302" s="26">
        <f>T_Ventes[[#This Row],[CA HT]]-T_Ventes[[#This Row],[Coût achat HT]]</f>
        <v>1498.13</v>
      </c>
      <c r="H302" s="27">
        <f>DATE(YEAR(T_Ventes[[#This Row],[Date facture]]),MONTH(T_Ventes[[#This Row],[Date facture]]),1)</f>
        <v>45839</v>
      </c>
      <c r="I302" s="28">
        <f>YEAR(T_Ventes[[#This Row],[Date facture]])</f>
        <v>2025</v>
      </c>
    </row>
    <row r="303" spans="1:9" x14ac:dyDescent="0.3">
      <c r="A303" s="23">
        <v>45861</v>
      </c>
      <c r="B303" s="24" t="s">
        <v>397</v>
      </c>
      <c r="C303" s="24" t="s">
        <v>73</v>
      </c>
      <c r="D303" s="24" t="s">
        <v>71</v>
      </c>
      <c r="E303" s="25">
        <v>5988.05</v>
      </c>
      <c r="F303" s="25">
        <v>3442.25</v>
      </c>
      <c r="G303" s="26">
        <f>T_Ventes[[#This Row],[CA HT]]-T_Ventes[[#This Row],[Coût achat HT]]</f>
        <v>2545.8000000000002</v>
      </c>
      <c r="H303" s="27">
        <f>DATE(YEAR(T_Ventes[[#This Row],[Date facture]]),MONTH(T_Ventes[[#This Row],[Date facture]]),1)</f>
        <v>45839</v>
      </c>
      <c r="I303" s="28">
        <f>YEAR(T_Ventes[[#This Row],[Date facture]])</f>
        <v>2025</v>
      </c>
    </row>
    <row r="304" spans="1:9" x14ac:dyDescent="0.3">
      <c r="A304" s="23">
        <v>45862</v>
      </c>
      <c r="B304" s="24" t="s">
        <v>398</v>
      </c>
      <c r="C304" s="24" t="s">
        <v>128</v>
      </c>
      <c r="D304" s="24" t="s">
        <v>64</v>
      </c>
      <c r="E304" s="25">
        <v>3586.38</v>
      </c>
      <c r="F304" s="25">
        <v>2754.66</v>
      </c>
      <c r="G304" s="26">
        <f>T_Ventes[[#This Row],[CA HT]]-T_Ventes[[#This Row],[Coût achat HT]]</f>
        <v>831.72000000000025</v>
      </c>
      <c r="H304" s="27">
        <f>DATE(YEAR(T_Ventes[[#This Row],[Date facture]]),MONTH(T_Ventes[[#This Row],[Date facture]]),1)</f>
        <v>45839</v>
      </c>
      <c r="I304" s="28">
        <f>YEAR(T_Ventes[[#This Row],[Date facture]])</f>
        <v>2025</v>
      </c>
    </row>
    <row r="305" spans="1:9" x14ac:dyDescent="0.3">
      <c r="A305" s="23">
        <v>45863</v>
      </c>
      <c r="B305" s="24" t="s">
        <v>399</v>
      </c>
      <c r="C305" s="24" t="s">
        <v>68</v>
      </c>
      <c r="D305" s="24" t="s">
        <v>64</v>
      </c>
      <c r="E305" s="25">
        <v>6028.91</v>
      </c>
      <c r="F305" s="25">
        <v>4608.1400000000003</v>
      </c>
      <c r="G305" s="26">
        <f>T_Ventes[[#This Row],[CA HT]]-T_Ventes[[#This Row],[Coût achat HT]]</f>
        <v>1420.7699999999995</v>
      </c>
      <c r="H305" s="27">
        <f>DATE(YEAR(T_Ventes[[#This Row],[Date facture]]),MONTH(T_Ventes[[#This Row],[Date facture]]),1)</f>
        <v>45839</v>
      </c>
      <c r="I305" s="28">
        <f>YEAR(T_Ventes[[#This Row],[Date facture]])</f>
        <v>2025</v>
      </c>
    </row>
    <row r="306" spans="1:9" x14ac:dyDescent="0.3">
      <c r="A306" s="23">
        <v>45863</v>
      </c>
      <c r="B306" s="24" t="s">
        <v>400</v>
      </c>
      <c r="C306" s="24" t="s">
        <v>84</v>
      </c>
      <c r="D306" s="24" t="s">
        <v>57</v>
      </c>
      <c r="E306" s="25">
        <v>4709.05</v>
      </c>
      <c r="F306" s="25">
        <v>3094.47</v>
      </c>
      <c r="G306" s="26">
        <f>T_Ventes[[#This Row],[CA HT]]-T_Ventes[[#This Row],[Coût achat HT]]</f>
        <v>1614.5800000000004</v>
      </c>
      <c r="H306" s="27">
        <f>DATE(YEAR(T_Ventes[[#This Row],[Date facture]]),MONTH(T_Ventes[[#This Row],[Date facture]]),1)</f>
        <v>45839</v>
      </c>
      <c r="I306" s="28">
        <f>YEAR(T_Ventes[[#This Row],[Date facture]])</f>
        <v>2025</v>
      </c>
    </row>
    <row r="307" spans="1:9" x14ac:dyDescent="0.3">
      <c r="A307" s="23">
        <v>45863</v>
      </c>
      <c r="B307" s="24" t="s">
        <v>401</v>
      </c>
      <c r="C307" s="24" t="s">
        <v>252</v>
      </c>
      <c r="D307" s="24" t="s">
        <v>59</v>
      </c>
      <c r="E307" s="25">
        <v>1430.47</v>
      </c>
      <c r="F307" s="25">
        <v>562.46</v>
      </c>
      <c r="G307" s="26">
        <f>T_Ventes[[#This Row],[CA HT]]-T_Ventes[[#This Row],[Coût achat HT]]</f>
        <v>868.01</v>
      </c>
      <c r="H307" s="27">
        <f>DATE(YEAR(T_Ventes[[#This Row],[Date facture]]),MONTH(T_Ventes[[#This Row],[Date facture]]),1)</f>
        <v>45839</v>
      </c>
      <c r="I307" s="28">
        <f>YEAR(T_Ventes[[#This Row],[Date facture]])</f>
        <v>2025</v>
      </c>
    </row>
    <row r="308" spans="1:9" x14ac:dyDescent="0.3">
      <c r="A308" s="23">
        <v>45864</v>
      </c>
      <c r="B308" s="24" t="s">
        <v>402</v>
      </c>
      <c r="C308" s="24" t="s">
        <v>76</v>
      </c>
      <c r="D308" s="24" t="s">
        <v>64</v>
      </c>
      <c r="E308" s="25">
        <v>2359.4899999999998</v>
      </c>
      <c r="F308" s="25">
        <v>1815.73</v>
      </c>
      <c r="G308" s="26">
        <f>T_Ventes[[#This Row],[CA HT]]-T_Ventes[[#This Row],[Coût achat HT]]</f>
        <v>543.75999999999976</v>
      </c>
      <c r="H308" s="27">
        <f>DATE(YEAR(T_Ventes[[#This Row],[Date facture]]),MONTH(T_Ventes[[#This Row],[Date facture]]),1)</f>
        <v>45839</v>
      </c>
      <c r="I308" s="28">
        <f>YEAR(T_Ventes[[#This Row],[Date facture]])</f>
        <v>2025</v>
      </c>
    </row>
    <row r="309" spans="1:9" x14ac:dyDescent="0.3">
      <c r="A309" s="23">
        <v>45865</v>
      </c>
      <c r="B309" s="24" t="s">
        <v>403</v>
      </c>
      <c r="C309" s="24" t="s">
        <v>90</v>
      </c>
      <c r="D309" s="24" t="s">
        <v>64</v>
      </c>
      <c r="E309" s="25">
        <v>5815.77</v>
      </c>
      <c r="F309" s="25">
        <v>4356.8</v>
      </c>
      <c r="G309" s="26">
        <f>T_Ventes[[#This Row],[CA HT]]-T_Ventes[[#This Row],[Coût achat HT]]</f>
        <v>1458.9700000000003</v>
      </c>
      <c r="H309" s="27">
        <f>DATE(YEAR(T_Ventes[[#This Row],[Date facture]]),MONTH(T_Ventes[[#This Row],[Date facture]]),1)</f>
        <v>45839</v>
      </c>
      <c r="I309" s="28">
        <f>YEAR(T_Ventes[[#This Row],[Date facture]])</f>
        <v>2025</v>
      </c>
    </row>
    <row r="310" spans="1:9" x14ac:dyDescent="0.3">
      <c r="A310" s="23">
        <v>45866</v>
      </c>
      <c r="B310" s="24" t="s">
        <v>404</v>
      </c>
      <c r="C310" s="24" t="s">
        <v>68</v>
      </c>
      <c r="D310" s="24" t="s">
        <v>64</v>
      </c>
      <c r="E310" s="25">
        <v>6041.43</v>
      </c>
      <c r="F310" s="25">
        <v>4580.12</v>
      </c>
      <c r="G310" s="26">
        <f>T_Ventes[[#This Row],[CA HT]]-T_Ventes[[#This Row],[Coût achat HT]]</f>
        <v>1461.3100000000004</v>
      </c>
      <c r="H310" s="27">
        <f>DATE(YEAR(T_Ventes[[#This Row],[Date facture]]),MONTH(T_Ventes[[#This Row],[Date facture]]),1)</f>
        <v>45839</v>
      </c>
      <c r="I310" s="28">
        <f>YEAR(T_Ventes[[#This Row],[Date facture]])</f>
        <v>2025</v>
      </c>
    </row>
    <row r="311" spans="1:9" x14ac:dyDescent="0.3">
      <c r="A311" s="23">
        <v>45866</v>
      </c>
      <c r="B311" s="24" t="s">
        <v>405</v>
      </c>
      <c r="C311" s="24" t="s">
        <v>92</v>
      </c>
      <c r="D311" s="24" t="s">
        <v>57</v>
      </c>
      <c r="E311" s="25">
        <v>5062.66</v>
      </c>
      <c r="F311" s="25">
        <v>3334.41</v>
      </c>
      <c r="G311" s="26">
        <f>T_Ventes[[#This Row],[CA HT]]-T_Ventes[[#This Row],[Coût achat HT]]</f>
        <v>1728.25</v>
      </c>
      <c r="H311" s="27">
        <f>DATE(YEAR(T_Ventes[[#This Row],[Date facture]]),MONTH(T_Ventes[[#This Row],[Date facture]]),1)</f>
        <v>45839</v>
      </c>
      <c r="I311" s="28">
        <f>YEAR(T_Ventes[[#This Row],[Date facture]])</f>
        <v>2025</v>
      </c>
    </row>
    <row r="312" spans="1:9" x14ac:dyDescent="0.3">
      <c r="A312" s="23">
        <v>45870</v>
      </c>
      <c r="B312" s="24" t="s">
        <v>406</v>
      </c>
      <c r="C312" s="24" t="s">
        <v>73</v>
      </c>
      <c r="D312" s="24" t="s">
        <v>64</v>
      </c>
      <c r="E312" s="25">
        <v>5851.43</v>
      </c>
      <c r="F312" s="25">
        <v>4423.21</v>
      </c>
      <c r="G312" s="26">
        <f>T_Ventes[[#This Row],[CA HT]]-T_Ventes[[#This Row],[Coût achat HT]]</f>
        <v>1428.2200000000003</v>
      </c>
      <c r="H312" s="27">
        <f>DATE(YEAR(T_Ventes[[#This Row],[Date facture]]),MONTH(T_Ventes[[#This Row],[Date facture]]),1)</f>
        <v>45870</v>
      </c>
      <c r="I312" s="28">
        <f>YEAR(T_Ventes[[#This Row],[Date facture]])</f>
        <v>2025</v>
      </c>
    </row>
    <row r="313" spans="1:9" x14ac:dyDescent="0.3">
      <c r="A313" s="23">
        <v>45871</v>
      </c>
      <c r="B313" s="24" t="s">
        <v>407</v>
      </c>
      <c r="C313" s="24" t="s">
        <v>247</v>
      </c>
      <c r="D313" s="24" t="s">
        <v>57</v>
      </c>
      <c r="E313" s="25">
        <v>3150.36</v>
      </c>
      <c r="F313" s="25">
        <v>2095.8200000000002</v>
      </c>
      <c r="G313" s="26">
        <f>T_Ventes[[#This Row],[CA HT]]-T_Ventes[[#This Row],[Coût achat HT]]</f>
        <v>1054.54</v>
      </c>
      <c r="H313" s="27">
        <f>DATE(YEAR(T_Ventes[[#This Row],[Date facture]]),MONTH(T_Ventes[[#This Row],[Date facture]]),1)</f>
        <v>45870</v>
      </c>
      <c r="I313" s="28">
        <f>YEAR(T_Ventes[[#This Row],[Date facture]])</f>
        <v>2025</v>
      </c>
    </row>
    <row r="314" spans="1:9" x14ac:dyDescent="0.3">
      <c r="A314" s="23">
        <v>45872</v>
      </c>
      <c r="B314" s="24" t="s">
        <v>408</v>
      </c>
      <c r="C314" s="24" t="s">
        <v>115</v>
      </c>
      <c r="D314" s="24" t="s">
        <v>71</v>
      </c>
      <c r="E314" s="25">
        <v>3039.78</v>
      </c>
      <c r="F314" s="25">
        <v>1801.57</v>
      </c>
      <c r="G314" s="26">
        <f>T_Ventes[[#This Row],[CA HT]]-T_Ventes[[#This Row],[Coût achat HT]]</f>
        <v>1238.2100000000003</v>
      </c>
      <c r="H314" s="27">
        <f>DATE(YEAR(T_Ventes[[#This Row],[Date facture]]),MONTH(T_Ventes[[#This Row],[Date facture]]),1)</f>
        <v>45870</v>
      </c>
      <c r="I314" s="28">
        <f>YEAR(T_Ventes[[#This Row],[Date facture]])</f>
        <v>2025</v>
      </c>
    </row>
    <row r="315" spans="1:9" x14ac:dyDescent="0.3">
      <c r="A315" s="23">
        <v>45873</v>
      </c>
      <c r="B315" s="24" t="s">
        <v>409</v>
      </c>
      <c r="C315" s="24" t="s">
        <v>410</v>
      </c>
      <c r="D315" s="24" t="s">
        <v>64</v>
      </c>
      <c r="E315" s="25">
        <v>6866.09</v>
      </c>
      <c r="F315" s="25">
        <v>5288.57</v>
      </c>
      <c r="G315" s="26">
        <f>T_Ventes[[#This Row],[CA HT]]-T_Ventes[[#This Row],[Coût achat HT]]</f>
        <v>1577.5200000000004</v>
      </c>
      <c r="H315" s="27">
        <f>DATE(YEAR(T_Ventes[[#This Row],[Date facture]]),MONTH(T_Ventes[[#This Row],[Date facture]]),1)</f>
        <v>45870</v>
      </c>
      <c r="I315" s="28">
        <f>YEAR(T_Ventes[[#This Row],[Date facture]])</f>
        <v>2025</v>
      </c>
    </row>
    <row r="316" spans="1:9" x14ac:dyDescent="0.3">
      <c r="A316" s="23">
        <v>45873</v>
      </c>
      <c r="B316" s="24" t="s">
        <v>411</v>
      </c>
      <c r="C316" s="24" t="s">
        <v>66</v>
      </c>
      <c r="D316" s="24" t="s">
        <v>57</v>
      </c>
      <c r="E316" s="25">
        <v>5284.31</v>
      </c>
      <c r="F316" s="25">
        <v>3471.84</v>
      </c>
      <c r="G316" s="26">
        <f>T_Ventes[[#This Row],[CA HT]]-T_Ventes[[#This Row],[Coût achat HT]]</f>
        <v>1812.4700000000003</v>
      </c>
      <c r="H316" s="27">
        <f>DATE(YEAR(T_Ventes[[#This Row],[Date facture]]),MONTH(T_Ventes[[#This Row],[Date facture]]),1)</f>
        <v>45870</v>
      </c>
      <c r="I316" s="28">
        <f>YEAR(T_Ventes[[#This Row],[Date facture]])</f>
        <v>2025</v>
      </c>
    </row>
    <row r="317" spans="1:9" x14ac:dyDescent="0.3">
      <c r="A317" s="23">
        <v>45875</v>
      </c>
      <c r="B317" s="24" t="s">
        <v>412</v>
      </c>
      <c r="C317" s="24" t="s">
        <v>94</v>
      </c>
      <c r="D317" s="24" t="s">
        <v>57</v>
      </c>
      <c r="E317" s="25">
        <v>7453.13</v>
      </c>
      <c r="F317" s="25">
        <v>4925.7299999999996</v>
      </c>
      <c r="G317" s="26">
        <f>T_Ventes[[#This Row],[CA HT]]-T_Ventes[[#This Row],[Coût achat HT]]</f>
        <v>2527.4000000000005</v>
      </c>
      <c r="H317" s="27">
        <f>DATE(YEAR(T_Ventes[[#This Row],[Date facture]]),MONTH(T_Ventes[[#This Row],[Date facture]]),1)</f>
        <v>45870</v>
      </c>
      <c r="I317" s="28">
        <f>YEAR(T_Ventes[[#This Row],[Date facture]])</f>
        <v>2025</v>
      </c>
    </row>
    <row r="318" spans="1:9" x14ac:dyDescent="0.3">
      <c r="A318" s="23">
        <v>45876</v>
      </c>
      <c r="B318" s="24" t="s">
        <v>413</v>
      </c>
      <c r="C318" s="24" t="s">
        <v>115</v>
      </c>
      <c r="D318" s="24" t="s">
        <v>64</v>
      </c>
      <c r="E318" s="25">
        <v>4573.49</v>
      </c>
      <c r="F318" s="25">
        <v>3446.99</v>
      </c>
      <c r="G318" s="26">
        <f>T_Ventes[[#This Row],[CA HT]]-T_Ventes[[#This Row],[Coût achat HT]]</f>
        <v>1126.5</v>
      </c>
      <c r="H318" s="27">
        <f>DATE(YEAR(T_Ventes[[#This Row],[Date facture]]),MONTH(T_Ventes[[#This Row],[Date facture]]),1)</f>
        <v>45870</v>
      </c>
      <c r="I318" s="28">
        <f>YEAR(T_Ventes[[#This Row],[Date facture]])</f>
        <v>2025</v>
      </c>
    </row>
    <row r="319" spans="1:9" x14ac:dyDescent="0.3">
      <c r="A319" s="23">
        <v>45876</v>
      </c>
      <c r="B319" s="24" t="s">
        <v>414</v>
      </c>
      <c r="C319" s="24" t="s">
        <v>76</v>
      </c>
      <c r="D319" s="24" t="s">
        <v>64</v>
      </c>
      <c r="E319" s="25">
        <v>7148.93</v>
      </c>
      <c r="F319" s="25">
        <v>5505.75</v>
      </c>
      <c r="G319" s="26">
        <f>T_Ventes[[#This Row],[CA HT]]-T_Ventes[[#This Row],[Coût achat HT]]</f>
        <v>1643.1800000000003</v>
      </c>
      <c r="H319" s="27">
        <f>DATE(YEAR(T_Ventes[[#This Row],[Date facture]]),MONTH(T_Ventes[[#This Row],[Date facture]]),1)</f>
        <v>45870</v>
      </c>
      <c r="I319" s="28">
        <f>YEAR(T_Ventes[[#This Row],[Date facture]])</f>
        <v>2025</v>
      </c>
    </row>
    <row r="320" spans="1:9" x14ac:dyDescent="0.3">
      <c r="A320" s="23">
        <v>45876</v>
      </c>
      <c r="B320" s="24" t="s">
        <v>415</v>
      </c>
      <c r="C320" s="24" t="s">
        <v>115</v>
      </c>
      <c r="D320" s="24" t="s">
        <v>71</v>
      </c>
      <c r="E320" s="25">
        <v>3130.21</v>
      </c>
      <c r="F320" s="25">
        <v>1877.83</v>
      </c>
      <c r="G320" s="26">
        <f>T_Ventes[[#This Row],[CA HT]]-T_Ventes[[#This Row],[Coût achat HT]]</f>
        <v>1252.3800000000001</v>
      </c>
      <c r="H320" s="27">
        <f>DATE(YEAR(T_Ventes[[#This Row],[Date facture]]),MONTH(T_Ventes[[#This Row],[Date facture]]),1)</f>
        <v>45870</v>
      </c>
      <c r="I320" s="28">
        <f>YEAR(T_Ventes[[#This Row],[Date facture]])</f>
        <v>2025</v>
      </c>
    </row>
    <row r="321" spans="1:9" x14ac:dyDescent="0.3">
      <c r="A321" s="23">
        <v>45878</v>
      </c>
      <c r="B321" s="24" t="s">
        <v>416</v>
      </c>
      <c r="C321" s="24" t="s">
        <v>63</v>
      </c>
      <c r="D321" s="24" t="s">
        <v>64</v>
      </c>
      <c r="E321" s="25">
        <v>6890.61</v>
      </c>
      <c r="F321" s="25">
        <v>5287.4</v>
      </c>
      <c r="G321" s="26">
        <f>T_Ventes[[#This Row],[CA HT]]-T_Ventes[[#This Row],[Coût achat HT]]</f>
        <v>1603.21</v>
      </c>
      <c r="H321" s="27">
        <f>DATE(YEAR(T_Ventes[[#This Row],[Date facture]]),MONTH(T_Ventes[[#This Row],[Date facture]]),1)</f>
        <v>45870</v>
      </c>
      <c r="I321" s="28">
        <f>YEAR(T_Ventes[[#This Row],[Date facture]])</f>
        <v>2025</v>
      </c>
    </row>
    <row r="322" spans="1:9" x14ac:dyDescent="0.3">
      <c r="A322" s="23">
        <v>45878</v>
      </c>
      <c r="B322" s="24" t="s">
        <v>417</v>
      </c>
      <c r="C322" s="24" t="s">
        <v>56</v>
      </c>
      <c r="D322" s="24" t="s">
        <v>64</v>
      </c>
      <c r="E322" s="25">
        <v>3411.83</v>
      </c>
      <c r="F322" s="25">
        <v>2589.79</v>
      </c>
      <c r="G322" s="26">
        <f>T_Ventes[[#This Row],[CA HT]]-T_Ventes[[#This Row],[Coût achat HT]]</f>
        <v>822.04</v>
      </c>
      <c r="H322" s="27">
        <f>DATE(YEAR(T_Ventes[[#This Row],[Date facture]]),MONTH(T_Ventes[[#This Row],[Date facture]]),1)</f>
        <v>45870</v>
      </c>
      <c r="I322" s="28">
        <f>YEAR(T_Ventes[[#This Row],[Date facture]])</f>
        <v>2025</v>
      </c>
    </row>
    <row r="323" spans="1:9" x14ac:dyDescent="0.3">
      <c r="A323" s="23">
        <v>45879</v>
      </c>
      <c r="B323" s="24" t="s">
        <v>418</v>
      </c>
      <c r="C323" s="24" t="s">
        <v>78</v>
      </c>
      <c r="D323" s="24" t="s">
        <v>57</v>
      </c>
      <c r="E323" s="25">
        <v>2747.16</v>
      </c>
      <c r="F323" s="25">
        <v>1785.27</v>
      </c>
      <c r="G323" s="26">
        <f>T_Ventes[[#This Row],[CA HT]]-T_Ventes[[#This Row],[Coût achat HT]]</f>
        <v>961.88999999999987</v>
      </c>
      <c r="H323" s="27">
        <f>DATE(YEAR(T_Ventes[[#This Row],[Date facture]]),MONTH(T_Ventes[[#This Row],[Date facture]]),1)</f>
        <v>45870</v>
      </c>
      <c r="I323" s="28">
        <f>YEAR(T_Ventes[[#This Row],[Date facture]])</f>
        <v>2025</v>
      </c>
    </row>
    <row r="324" spans="1:9" x14ac:dyDescent="0.3">
      <c r="A324" s="23">
        <v>45880</v>
      </c>
      <c r="B324" s="24" t="s">
        <v>419</v>
      </c>
      <c r="C324" s="24" t="s">
        <v>115</v>
      </c>
      <c r="D324" s="24" t="s">
        <v>71</v>
      </c>
      <c r="E324" s="25">
        <v>5190.2700000000004</v>
      </c>
      <c r="F324" s="25">
        <v>3140.79</v>
      </c>
      <c r="G324" s="26">
        <f>T_Ventes[[#This Row],[CA HT]]-T_Ventes[[#This Row],[Coût achat HT]]</f>
        <v>2049.4800000000005</v>
      </c>
      <c r="H324" s="27">
        <f>DATE(YEAR(T_Ventes[[#This Row],[Date facture]]),MONTH(T_Ventes[[#This Row],[Date facture]]),1)</f>
        <v>45870</v>
      </c>
      <c r="I324" s="28">
        <f>YEAR(T_Ventes[[#This Row],[Date facture]])</f>
        <v>2025</v>
      </c>
    </row>
    <row r="325" spans="1:9" x14ac:dyDescent="0.3">
      <c r="A325" s="23">
        <v>45880</v>
      </c>
      <c r="B325" s="24" t="s">
        <v>420</v>
      </c>
      <c r="C325" s="24" t="s">
        <v>80</v>
      </c>
      <c r="D325" s="24" t="s">
        <v>59</v>
      </c>
      <c r="E325" s="25">
        <v>4357.95</v>
      </c>
      <c r="F325" s="25">
        <v>1621.95</v>
      </c>
      <c r="G325" s="26">
        <f>T_Ventes[[#This Row],[CA HT]]-T_Ventes[[#This Row],[Coût achat HT]]</f>
        <v>2736</v>
      </c>
      <c r="H325" s="27">
        <f>DATE(YEAR(T_Ventes[[#This Row],[Date facture]]),MONTH(T_Ventes[[#This Row],[Date facture]]),1)</f>
        <v>45870</v>
      </c>
      <c r="I325" s="28">
        <f>YEAR(T_Ventes[[#This Row],[Date facture]])</f>
        <v>2025</v>
      </c>
    </row>
    <row r="326" spans="1:9" x14ac:dyDescent="0.3">
      <c r="A326" s="23">
        <v>45880</v>
      </c>
      <c r="B326" s="24" t="s">
        <v>421</v>
      </c>
      <c r="C326" s="24" t="s">
        <v>56</v>
      </c>
      <c r="D326" s="24" t="s">
        <v>59</v>
      </c>
      <c r="E326" s="25">
        <v>5801.68</v>
      </c>
      <c r="F326" s="25">
        <v>2205.0300000000002</v>
      </c>
      <c r="G326" s="26">
        <f>T_Ventes[[#This Row],[CA HT]]-T_Ventes[[#This Row],[Coût achat HT]]</f>
        <v>3596.65</v>
      </c>
      <c r="H326" s="27">
        <f>DATE(YEAR(T_Ventes[[#This Row],[Date facture]]),MONTH(T_Ventes[[#This Row],[Date facture]]),1)</f>
        <v>45870</v>
      </c>
      <c r="I326" s="28">
        <f>YEAR(T_Ventes[[#This Row],[Date facture]])</f>
        <v>2025</v>
      </c>
    </row>
    <row r="327" spans="1:9" x14ac:dyDescent="0.3">
      <c r="A327" s="23">
        <v>45882</v>
      </c>
      <c r="B327" s="24" t="s">
        <v>422</v>
      </c>
      <c r="C327" s="24" t="s">
        <v>70</v>
      </c>
      <c r="D327" s="24" t="s">
        <v>64</v>
      </c>
      <c r="E327" s="25">
        <v>4487.3999999999996</v>
      </c>
      <c r="F327" s="25">
        <v>3371.93</v>
      </c>
      <c r="G327" s="26">
        <f>T_Ventes[[#This Row],[CA HT]]-T_Ventes[[#This Row],[Coût achat HT]]</f>
        <v>1115.4699999999998</v>
      </c>
      <c r="H327" s="27">
        <f>DATE(YEAR(T_Ventes[[#This Row],[Date facture]]),MONTH(T_Ventes[[#This Row],[Date facture]]),1)</f>
        <v>45870</v>
      </c>
      <c r="I327" s="28">
        <f>YEAR(T_Ventes[[#This Row],[Date facture]])</f>
        <v>2025</v>
      </c>
    </row>
    <row r="328" spans="1:9" x14ac:dyDescent="0.3">
      <c r="A328" s="23">
        <v>45885</v>
      </c>
      <c r="B328" s="24" t="s">
        <v>423</v>
      </c>
      <c r="C328" s="24" t="s">
        <v>73</v>
      </c>
      <c r="D328" s="24" t="s">
        <v>57</v>
      </c>
      <c r="E328" s="25">
        <v>6875.41</v>
      </c>
      <c r="F328" s="25">
        <v>4610.78</v>
      </c>
      <c r="G328" s="26">
        <f>T_Ventes[[#This Row],[CA HT]]-T_Ventes[[#This Row],[Coût achat HT]]</f>
        <v>2264.63</v>
      </c>
      <c r="H328" s="27">
        <f>DATE(YEAR(T_Ventes[[#This Row],[Date facture]]),MONTH(T_Ventes[[#This Row],[Date facture]]),1)</f>
        <v>45870</v>
      </c>
      <c r="I328" s="28">
        <f>YEAR(T_Ventes[[#This Row],[Date facture]])</f>
        <v>2025</v>
      </c>
    </row>
    <row r="329" spans="1:9" x14ac:dyDescent="0.3">
      <c r="A329" s="23">
        <v>45886</v>
      </c>
      <c r="B329" s="24" t="s">
        <v>424</v>
      </c>
      <c r="C329" s="24" t="s">
        <v>139</v>
      </c>
      <c r="D329" s="24" t="s">
        <v>59</v>
      </c>
      <c r="E329" s="25">
        <v>1078.21</v>
      </c>
      <c r="F329" s="25">
        <v>397.49</v>
      </c>
      <c r="G329" s="26">
        <f>T_Ventes[[#This Row],[CA HT]]-T_Ventes[[#This Row],[Coût achat HT]]</f>
        <v>680.72</v>
      </c>
      <c r="H329" s="27">
        <f>DATE(YEAR(T_Ventes[[#This Row],[Date facture]]),MONTH(T_Ventes[[#This Row],[Date facture]]),1)</f>
        <v>45870</v>
      </c>
      <c r="I329" s="28">
        <f>YEAR(T_Ventes[[#This Row],[Date facture]])</f>
        <v>2025</v>
      </c>
    </row>
    <row r="330" spans="1:9" x14ac:dyDescent="0.3">
      <c r="A330" s="23">
        <v>45890</v>
      </c>
      <c r="B330" s="24" t="s">
        <v>425</v>
      </c>
      <c r="C330" s="24" t="s">
        <v>128</v>
      </c>
      <c r="D330" s="24" t="s">
        <v>57</v>
      </c>
      <c r="E330" s="25">
        <v>2584.2199999999998</v>
      </c>
      <c r="F330" s="25">
        <v>1694.76</v>
      </c>
      <c r="G330" s="26">
        <f>T_Ventes[[#This Row],[CA HT]]-T_Ventes[[#This Row],[Coût achat HT]]</f>
        <v>889.45999999999981</v>
      </c>
      <c r="H330" s="27">
        <f>DATE(YEAR(T_Ventes[[#This Row],[Date facture]]),MONTH(T_Ventes[[#This Row],[Date facture]]),1)</f>
        <v>45870</v>
      </c>
      <c r="I330" s="28">
        <f>YEAR(T_Ventes[[#This Row],[Date facture]])</f>
        <v>2025</v>
      </c>
    </row>
    <row r="331" spans="1:9" x14ac:dyDescent="0.3">
      <c r="A331" s="23">
        <v>45891</v>
      </c>
      <c r="B331" s="24" t="s">
        <v>426</v>
      </c>
      <c r="C331" s="24" t="s">
        <v>410</v>
      </c>
      <c r="D331" s="24" t="s">
        <v>71</v>
      </c>
      <c r="E331" s="25">
        <v>5212.04</v>
      </c>
      <c r="F331" s="25">
        <v>3166.6</v>
      </c>
      <c r="G331" s="26">
        <f>T_Ventes[[#This Row],[CA HT]]-T_Ventes[[#This Row],[Coût achat HT]]</f>
        <v>2045.44</v>
      </c>
      <c r="H331" s="27">
        <f>DATE(YEAR(T_Ventes[[#This Row],[Date facture]]),MONTH(T_Ventes[[#This Row],[Date facture]]),1)</f>
        <v>45870</v>
      </c>
      <c r="I331" s="28">
        <f>YEAR(T_Ventes[[#This Row],[Date facture]])</f>
        <v>2025</v>
      </c>
    </row>
    <row r="332" spans="1:9" x14ac:dyDescent="0.3">
      <c r="A332" s="23">
        <v>45892</v>
      </c>
      <c r="B332" s="24" t="s">
        <v>427</v>
      </c>
      <c r="C332" s="24" t="s">
        <v>115</v>
      </c>
      <c r="D332" s="24" t="s">
        <v>64</v>
      </c>
      <c r="E332" s="25">
        <v>5418.66</v>
      </c>
      <c r="F332" s="25">
        <v>4067.91</v>
      </c>
      <c r="G332" s="26">
        <f>T_Ventes[[#This Row],[CA HT]]-T_Ventes[[#This Row],[Coût achat HT]]</f>
        <v>1350.75</v>
      </c>
      <c r="H332" s="27">
        <f>DATE(YEAR(T_Ventes[[#This Row],[Date facture]]),MONTH(T_Ventes[[#This Row],[Date facture]]),1)</f>
        <v>45870</v>
      </c>
      <c r="I332" s="28">
        <f>YEAR(T_Ventes[[#This Row],[Date facture]])</f>
        <v>2025</v>
      </c>
    </row>
    <row r="333" spans="1:9" x14ac:dyDescent="0.3">
      <c r="A333" s="23">
        <v>45892</v>
      </c>
      <c r="B333" s="24" t="s">
        <v>428</v>
      </c>
      <c r="C333" s="24" t="s">
        <v>103</v>
      </c>
      <c r="D333" s="24" t="s">
        <v>71</v>
      </c>
      <c r="E333" s="25">
        <v>1634.68</v>
      </c>
      <c r="F333" s="25">
        <v>994.8</v>
      </c>
      <c r="G333" s="26">
        <f>T_Ventes[[#This Row],[CA HT]]-T_Ventes[[#This Row],[Coût achat HT]]</f>
        <v>639.88000000000011</v>
      </c>
      <c r="H333" s="27">
        <f>DATE(YEAR(T_Ventes[[#This Row],[Date facture]]),MONTH(T_Ventes[[#This Row],[Date facture]]),1)</f>
        <v>45870</v>
      </c>
      <c r="I333" s="28">
        <f>YEAR(T_Ventes[[#This Row],[Date facture]])</f>
        <v>2025</v>
      </c>
    </row>
    <row r="334" spans="1:9" x14ac:dyDescent="0.3">
      <c r="A334" s="23">
        <v>45893</v>
      </c>
      <c r="B334" s="24" t="s">
        <v>429</v>
      </c>
      <c r="C334" s="24" t="s">
        <v>76</v>
      </c>
      <c r="D334" s="24" t="s">
        <v>64</v>
      </c>
      <c r="E334" s="25">
        <v>1741.68</v>
      </c>
      <c r="F334" s="25">
        <v>1318.6</v>
      </c>
      <c r="G334" s="26">
        <f>T_Ventes[[#This Row],[CA HT]]-T_Ventes[[#This Row],[Coût achat HT]]</f>
        <v>423.08000000000015</v>
      </c>
      <c r="H334" s="27">
        <f>DATE(YEAR(T_Ventes[[#This Row],[Date facture]]),MONTH(T_Ventes[[#This Row],[Date facture]]),1)</f>
        <v>45870</v>
      </c>
      <c r="I334" s="28">
        <f>YEAR(T_Ventes[[#This Row],[Date facture]])</f>
        <v>2025</v>
      </c>
    </row>
    <row r="335" spans="1:9" x14ac:dyDescent="0.3">
      <c r="A335" s="23">
        <v>45895</v>
      </c>
      <c r="B335" s="24" t="s">
        <v>430</v>
      </c>
      <c r="C335" s="24" t="s">
        <v>56</v>
      </c>
      <c r="D335" s="24" t="s">
        <v>64</v>
      </c>
      <c r="E335" s="25">
        <v>4180.16</v>
      </c>
      <c r="F335" s="25">
        <v>3207.85</v>
      </c>
      <c r="G335" s="26">
        <f>T_Ventes[[#This Row],[CA HT]]-T_Ventes[[#This Row],[Coût achat HT]]</f>
        <v>972.31</v>
      </c>
      <c r="H335" s="27">
        <f>DATE(YEAR(T_Ventes[[#This Row],[Date facture]]),MONTH(T_Ventes[[#This Row],[Date facture]]),1)</f>
        <v>45870</v>
      </c>
      <c r="I335" s="28">
        <f>YEAR(T_Ventes[[#This Row],[Date facture]])</f>
        <v>2025</v>
      </c>
    </row>
    <row r="336" spans="1:9" x14ac:dyDescent="0.3">
      <c r="A336" s="23">
        <v>45895</v>
      </c>
      <c r="B336" s="24" t="s">
        <v>431</v>
      </c>
      <c r="C336" s="24" t="s">
        <v>354</v>
      </c>
      <c r="D336" s="24" t="s">
        <v>71</v>
      </c>
      <c r="E336" s="25">
        <v>4268.7</v>
      </c>
      <c r="F336" s="25">
        <v>2481.13</v>
      </c>
      <c r="G336" s="26">
        <f>T_Ventes[[#This Row],[CA HT]]-T_Ventes[[#This Row],[Coût achat HT]]</f>
        <v>1787.5699999999997</v>
      </c>
      <c r="H336" s="27">
        <f>DATE(YEAR(T_Ventes[[#This Row],[Date facture]]),MONTH(T_Ventes[[#This Row],[Date facture]]),1)</f>
        <v>45870</v>
      </c>
      <c r="I336" s="28">
        <f>YEAR(T_Ventes[[#This Row],[Date facture]])</f>
        <v>2025</v>
      </c>
    </row>
    <row r="337" spans="1:9" x14ac:dyDescent="0.3">
      <c r="A337" s="23">
        <v>45901</v>
      </c>
      <c r="B337" s="24" t="s">
        <v>432</v>
      </c>
      <c r="C337" s="24" t="s">
        <v>108</v>
      </c>
      <c r="D337" s="24" t="s">
        <v>71</v>
      </c>
      <c r="E337" s="25">
        <v>4174</v>
      </c>
      <c r="F337" s="25">
        <v>2416.56</v>
      </c>
      <c r="G337" s="26">
        <f>T_Ventes[[#This Row],[CA HT]]-T_Ventes[[#This Row],[Coût achat HT]]</f>
        <v>1757.44</v>
      </c>
      <c r="H337" s="27">
        <f>DATE(YEAR(T_Ventes[[#This Row],[Date facture]]),MONTH(T_Ventes[[#This Row],[Date facture]]),1)</f>
        <v>45901</v>
      </c>
      <c r="I337" s="28">
        <f>YEAR(T_Ventes[[#This Row],[Date facture]])</f>
        <v>2025</v>
      </c>
    </row>
    <row r="338" spans="1:9" x14ac:dyDescent="0.3">
      <c r="A338" s="23">
        <v>45901</v>
      </c>
      <c r="B338" s="24" t="s">
        <v>433</v>
      </c>
      <c r="C338" s="24" t="s">
        <v>80</v>
      </c>
      <c r="D338" s="24" t="s">
        <v>59</v>
      </c>
      <c r="E338" s="25">
        <v>5972.53</v>
      </c>
      <c r="F338" s="25">
        <v>2363.87</v>
      </c>
      <c r="G338" s="26">
        <f>T_Ventes[[#This Row],[CA HT]]-T_Ventes[[#This Row],[Coût achat HT]]</f>
        <v>3608.66</v>
      </c>
      <c r="H338" s="27">
        <f>DATE(YEAR(T_Ventes[[#This Row],[Date facture]]),MONTH(T_Ventes[[#This Row],[Date facture]]),1)</f>
        <v>45901</v>
      </c>
      <c r="I338" s="28">
        <f>YEAR(T_Ventes[[#This Row],[Date facture]])</f>
        <v>2025</v>
      </c>
    </row>
    <row r="339" spans="1:9" x14ac:dyDescent="0.3">
      <c r="A339" s="23">
        <v>45901</v>
      </c>
      <c r="B339" s="24" t="s">
        <v>434</v>
      </c>
      <c r="C339" s="24" t="s">
        <v>115</v>
      </c>
      <c r="D339" s="24" t="s">
        <v>59</v>
      </c>
      <c r="E339" s="25">
        <v>2484.67</v>
      </c>
      <c r="F339" s="25">
        <v>961.11</v>
      </c>
      <c r="G339" s="26">
        <f>T_Ventes[[#This Row],[CA HT]]-T_Ventes[[#This Row],[Coût achat HT]]</f>
        <v>1523.56</v>
      </c>
      <c r="H339" s="27">
        <f>DATE(YEAR(T_Ventes[[#This Row],[Date facture]]),MONTH(T_Ventes[[#This Row],[Date facture]]),1)</f>
        <v>45901</v>
      </c>
      <c r="I339" s="28">
        <f>YEAR(T_Ventes[[#This Row],[Date facture]])</f>
        <v>2025</v>
      </c>
    </row>
    <row r="340" spans="1:9" x14ac:dyDescent="0.3">
      <c r="A340" s="23">
        <v>45902</v>
      </c>
      <c r="B340" s="24" t="s">
        <v>435</v>
      </c>
      <c r="C340" s="24" t="s">
        <v>96</v>
      </c>
      <c r="D340" s="24" t="s">
        <v>64</v>
      </c>
      <c r="E340" s="25">
        <v>1222.97</v>
      </c>
      <c r="F340" s="25">
        <v>942.97</v>
      </c>
      <c r="G340" s="26">
        <f>T_Ventes[[#This Row],[CA HT]]-T_Ventes[[#This Row],[Coût achat HT]]</f>
        <v>280</v>
      </c>
      <c r="H340" s="27">
        <f>DATE(YEAR(T_Ventes[[#This Row],[Date facture]]),MONTH(T_Ventes[[#This Row],[Date facture]]),1)</f>
        <v>45901</v>
      </c>
      <c r="I340" s="28">
        <f>YEAR(T_Ventes[[#This Row],[Date facture]])</f>
        <v>2025</v>
      </c>
    </row>
    <row r="341" spans="1:9" x14ac:dyDescent="0.3">
      <c r="A341" s="23">
        <v>45902</v>
      </c>
      <c r="B341" s="24" t="s">
        <v>436</v>
      </c>
      <c r="C341" s="24" t="s">
        <v>80</v>
      </c>
      <c r="D341" s="24" t="s">
        <v>71</v>
      </c>
      <c r="E341" s="25">
        <v>6515.95</v>
      </c>
      <c r="F341" s="25">
        <v>3763.31</v>
      </c>
      <c r="G341" s="26">
        <f>T_Ventes[[#This Row],[CA HT]]-T_Ventes[[#This Row],[Coût achat HT]]</f>
        <v>2752.64</v>
      </c>
      <c r="H341" s="27">
        <f>DATE(YEAR(T_Ventes[[#This Row],[Date facture]]),MONTH(T_Ventes[[#This Row],[Date facture]]),1)</f>
        <v>45901</v>
      </c>
      <c r="I341" s="28">
        <f>YEAR(T_Ventes[[#This Row],[Date facture]])</f>
        <v>2025</v>
      </c>
    </row>
    <row r="342" spans="1:9" x14ac:dyDescent="0.3">
      <c r="A342" s="23">
        <v>45902</v>
      </c>
      <c r="B342" s="24" t="s">
        <v>437</v>
      </c>
      <c r="C342" s="24" t="s">
        <v>73</v>
      </c>
      <c r="D342" s="24" t="s">
        <v>71</v>
      </c>
      <c r="E342" s="25">
        <v>1467.21</v>
      </c>
      <c r="F342" s="25">
        <v>893.75</v>
      </c>
      <c r="G342" s="26">
        <f>T_Ventes[[#This Row],[CA HT]]-T_Ventes[[#This Row],[Coût achat HT]]</f>
        <v>573.46</v>
      </c>
      <c r="H342" s="27">
        <f>DATE(YEAR(T_Ventes[[#This Row],[Date facture]]),MONTH(T_Ventes[[#This Row],[Date facture]]),1)</f>
        <v>45901</v>
      </c>
      <c r="I342" s="28">
        <f>YEAR(T_Ventes[[#This Row],[Date facture]])</f>
        <v>2025</v>
      </c>
    </row>
    <row r="343" spans="1:9" x14ac:dyDescent="0.3">
      <c r="A343" s="23">
        <v>45902</v>
      </c>
      <c r="B343" s="24" t="s">
        <v>438</v>
      </c>
      <c r="C343" s="24" t="s">
        <v>115</v>
      </c>
      <c r="D343" s="24" t="s">
        <v>71</v>
      </c>
      <c r="E343" s="25">
        <v>1864.45</v>
      </c>
      <c r="F343" s="25">
        <v>1062.92</v>
      </c>
      <c r="G343" s="26">
        <f>T_Ventes[[#This Row],[CA HT]]-T_Ventes[[#This Row],[Coût achat HT]]</f>
        <v>801.53</v>
      </c>
      <c r="H343" s="27">
        <f>DATE(YEAR(T_Ventes[[#This Row],[Date facture]]),MONTH(T_Ventes[[#This Row],[Date facture]]),1)</f>
        <v>45901</v>
      </c>
      <c r="I343" s="28">
        <f>YEAR(T_Ventes[[#This Row],[Date facture]])</f>
        <v>2025</v>
      </c>
    </row>
    <row r="344" spans="1:9" x14ac:dyDescent="0.3">
      <c r="A344" s="23">
        <v>45903</v>
      </c>
      <c r="B344" s="24" t="s">
        <v>439</v>
      </c>
      <c r="C344" s="24" t="s">
        <v>66</v>
      </c>
      <c r="D344" s="24" t="s">
        <v>64</v>
      </c>
      <c r="E344" s="25">
        <v>3651.73</v>
      </c>
      <c r="F344" s="25">
        <v>2744.7</v>
      </c>
      <c r="G344" s="26">
        <f>T_Ventes[[#This Row],[CA HT]]-T_Ventes[[#This Row],[Coût achat HT]]</f>
        <v>907.0300000000002</v>
      </c>
      <c r="H344" s="27">
        <f>DATE(YEAR(T_Ventes[[#This Row],[Date facture]]),MONTH(T_Ventes[[#This Row],[Date facture]]),1)</f>
        <v>45901</v>
      </c>
      <c r="I344" s="28">
        <f>YEAR(T_Ventes[[#This Row],[Date facture]])</f>
        <v>2025</v>
      </c>
    </row>
    <row r="345" spans="1:9" x14ac:dyDescent="0.3">
      <c r="A345" s="23">
        <v>45903</v>
      </c>
      <c r="B345" s="24" t="s">
        <v>440</v>
      </c>
      <c r="C345" s="24" t="s">
        <v>244</v>
      </c>
      <c r="D345" s="24" t="s">
        <v>64</v>
      </c>
      <c r="E345" s="25">
        <v>4973.83</v>
      </c>
      <c r="F345" s="25">
        <v>3751.5</v>
      </c>
      <c r="G345" s="26">
        <f>T_Ventes[[#This Row],[CA HT]]-T_Ventes[[#This Row],[Coût achat HT]]</f>
        <v>1222.33</v>
      </c>
      <c r="H345" s="27">
        <f>DATE(YEAR(T_Ventes[[#This Row],[Date facture]]),MONTH(T_Ventes[[#This Row],[Date facture]]),1)</f>
        <v>45901</v>
      </c>
      <c r="I345" s="28">
        <f>YEAR(T_Ventes[[#This Row],[Date facture]])</f>
        <v>2025</v>
      </c>
    </row>
    <row r="346" spans="1:9" x14ac:dyDescent="0.3">
      <c r="A346" s="23">
        <v>45903</v>
      </c>
      <c r="B346" s="24" t="s">
        <v>441</v>
      </c>
      <c r="C346" s="24" t="s">
        <v>61</v>
      </c>
      <c r="D346" s="24" t="s">
        <v>57</v>
      </c>
      <c r="E346" s="25">
        <v>3094.55</v>
      </c>
      <c r="F346" s="25">
        <v>2001.5</v>
      </c>
      <c r="G346" s="26">
        <f>T_Ventes[[#This Row],[CA HT]]-T_Ventes[[#This Row],[Coût achat HT]]</f>
        <v>1093.0500000000002</v>
      </c>
      <c r="H346" s="27">
        <f>DATE(YEAR(T_Ventes[[#This Row],[Date facture]]),MONTH(T_Ventes[[#This Row],[Date facture]]),1)</f>
        <v>45901</v>
      </c>
      <c r="I346" s="28">
        <f>YEAR(T_Ventes[[#This Row],[Date facture]])</f>
        <v>2025</v>
      </c>
    </row>
    <row r="347" spans="1:9" x14ac:dyDescent="0.3">
      <c r="A347" s="23">
        <v>45903</v>
      </c>
      <c r="B347" s="24" t="s">
        <v>442</v>
      </c>
      <c r="C347" s="24" t="s">
        <v>56</v>
      </c>
      <c r="D347" s="24" t="s">
        <v>57</v>
      </c>
      <c r="E347" s="25">
        <v>5318.51</v>
      </c>
      <c r="F347" s="25">
        <v>3476.61</v>
      </c>
      <c r="G347" s="26">
        <f>T_Ventes[[#This Row],[CA HT]]-T_Ventes[[#This Row],[Coût achat HT]]</f>
        <v>1841.9</v>
      </c>
      <c r="H347" s="27">
        <f>DATE(YEAR(T_Ventes[[#This Row],[Date facture]]),MONTH(T_Ventes[[#This Row],[Date facture]]),1)</f>
        <v>45901</v>
      </c>
      <c r="I347" s="28">
        <f>YEAR(T_Ventes[[#This Row],[Date facture]])</f>
        <v>2025</v>
      </c>
    </row>
    <row r="348" spans="1:9" x14ac:dyDescent="0.3">
      <c r="A348" s="23">
        <v>45903</v>
      </c>
      <c r="B348" s="24" t="s">
        <v>443</v>
      </c>
      <c r="C348" s="24" t="s">
        <v>252</v>
      </c>
      <c r="D348" s="24" t="s">
        <v>57</v>
      </c>
      <c r="E348" s="25">
        <v>3084.69</v>
      </c>
      <c r="F348" s="25">
        <v>2074.8200000000002</v>
      </c>
      <c r="G348" s="26">
        <f>T_Ventes[[#This Row],[CA HT]]-T_Ventes[[#This Row],[Coût achat HT]]</f>
        <v>1009.8699999999999</v>
      </c>
      <c r="H348" s="27">
        <f>DATE(YEAR(T_Ventes[[#This Row],[Date facture]]),MONTH(T_Ventes[[#This Row],[Date facture]]),1)</f>
        <v>45901</v>
      </c>
      <c r="I348" s="28">
        <f>YEAR(T_Ventes[[#This Row],[Date facture]])</f>
        <v>2025</v>
      </c>
    </row>
    <row r="349" spans="1:9" x14ac:dyDescent="0.3">
      <c r="A349" s="23">
        <v>45904</v>
      </c>
      <c r="B349" s="24" t="s">
        <v>444</v>
      </c>
      <c r="C349" s="24" t="s">
        <v>92</v>
      </c>
      <c r="D349" s="24" t="s">
        <v>64</v>
      </c>
      <c r="E349" s="25">
        <v>3908.78</v>
      </c>
      <c r="F349" s="25">
        <v>2957.03</v>
      </c>
      <c r="G349" s="26">
        <f>T_Ventes[[#This Row],[CA HT]]-T_Ventes[[#This Row],[Coût achat HT]]</f>
        <v>951.75</v>
      </c>
      <c r="H349" s="27">
        <f>DATE(YEAR(T_Ventes[[#This Row],[Date facture]]),MONTH(T_Ventes[[#This Row],[Date facture]]),1)</f>
        <v>45901</v>
      </c>
      <c r="I349" s="28">
        <f>YEAR(T_Ventes[[#This Row],[Date facture]])</f>
        <v>2025</v>
      </c>
    </row>
    <row r="350" spans="1:9" x14ac:dyDescent="0.3">
      <c r="A350" s="23">
        <v>45904</v>
      </c>
      <c r="B350" s="24" t="s">
        <v>445</v>
      </c>
      <c r="C350" s="24" t="s">
        <v>92</v>
      </c>
      <c r="D350" s="24" t="s">
        <v>57</v>
      </c>
      <c r="E350" s="25">
        <v>4895.8</v>
      </c>
      <c r="F350" s="25">
        <v>3227.64</v>
      </c>
      <c r="G350" s="26">
        <f>T_Ventes[[#This Row],[CA HT]]-T_Ventes[[#This Row],[Coût achat HT]]</f>
        <v>1668.1600000000003</v>
      </c>
      <c r="H350" s="27">
        <f>DATE(YEAR(T_Ventes[[#This Row],[Date facture]]),MONTH(T_Ventes[[#This Row],[Date facture]]),1)</f>
        <v>45901</v>
      </c>
      <c r="I350" s="28">
        <f>YEAR(T_Ventes[[#This Row],[Date facture]])</f>
        <v>2025</v>
      </c>
    </row>
    <row r="351" spans="1:9" x14ac:dyDescent="0.3">
      <c r="A351" s="23">
        <v>45905</v>
      </c>
      <c r="B351" s="24" t="s">
        <v>446</v>
      </c>
      <c r="C351" s="24" t="s">
        <v>87</v>
      </c>
      <c r="D351" s="24" t="s">
        <v>64</v>
      </c>
      <c r="E351" s="25">
        <v>5249.74</v>
      </c>
      <c r="F351" s="25">
        <v>3993.19</v>
      </c>
      <c r="G351" s="26">
        <f>T_Ventes[[#This Row],[CA HT]]-T_Ventes[[#This Row],[Coût achat HT]]</f>
        <v>1256.5499999999997</v>
      </c>
      <c r="H351" s="27">
        <f>DATE(YEAR(T_Ventes[[#This Row],[Date facture]]),MONTH(T_Ventes[[#This Row],[Date facture]]),1)</f>
        <v>45901</v>
      </c>
      <c r="I351" s="28">
        <f>YEAR(T_Ventes[[#This Row],[Date facture]])</f>
        <v>2025</v>
      </c>
    </row>
    <row r="352" spans="1:9" x14ac:dyDescent="0.3">
      <c r="A352" s="23">
        <v>45905</v>
      </c>
      <c r="B352" s="24" t="s">
        <v>447</v>
      </c>
      <c r="C352" s="24" t="s">
        <v>80</v>
      </c>
      <c r="D352" s="24" t="s">
        <v>57</v>
      </c>
      <c r="E352" s="25">
        <v>4274.37</v>
      </c>
      <c r="F352" s="25">
        <v>2846.42</v>
      </c>
      <c r="G352" s="26">
        <f>T_Ventes[[#This Row],[CA HT]]-T_Ventes[[#This Row],[Coût achat HT]]</f>
        <v>1427.9499999999998</v>
      </c>
      <c r="H352" s="27">
        <f>DATE(YEAR(T_Ventes[[#This Row],[Date facture]]),MONTH(T_Ventes[[#This Row],[Date facture]]),1)</f>
        <v>45901</v>
      </c>
      <c r="I352" s="28">
        <f>YEAR(T_Ventes[[#This Row],[Date facture]])</f>
        <v>2025</v>
      </c>
    </row>
    <row r="353" spans="1:9" x14ac:dyDescent="0.3">
      <c r="A353" s="23">
        <v>45905</v>
      </c>
      <c r="B353" s="24" t="s">
        <v>448</v>
      </c>
      <c r="C353" s="24" t="s">
        <v>108</v>
      </c>
      <c r="D353" s="24" t="s">
        <v>71</v>
      </c>
      <c r="E353" s="25">
        <v>6870.4</v>
      </c>
      <c r="F353" s="25">
        <v>3921</v>
      </c>
      <c r="G353" s="26">
        <f>T_Ventes[[#This Row],[CA HT]]-T_Ventes[[#This Row],[Coût achat HT]]</f>
        <v>2949.3999999999996</v>
      </c>
      <c r="H353" s="27">
        <f>DATE(YEAR(T_Ventes[[#This Row],[Date facture]]),MONTH(T_Ventes[[#This Row],[Date facture]]),1)</f>
        <v>45901</v>
      </c>
      <c r="I353" s="28">
        <f>YEAR(T_Ventes[[#This Row],[Date facture]])</f>
        <v>2025</v>
      </c>
    </row>
    <row r="354" spans="1:9" x14ac:dyDescent="0.3">
      <c r="A354" s="23">
        <v>45906</v>
      </c>
      <c r="B354" s="24" t="s">
        <v>449</v>
      </c>
      <c r="C354" s="24" t="s">
        <v>56</v>
      </c>
      <c r="D354" s="24" t="s">
        <v>64</v>
      </c>
      <c r="E354" s="25">
        <v>3191.2</v>
      </c>
      <c r="F354" s="25">
        <v>2450.14</v>
      </c>
      <c r="G354" s="26">
        <f>T_Ventes[[#This Row],[CA HT]]-T_Ventes[[#This Row],[Coût achat HT]]</f>
        <v>741.06</v>
      </c>
      <c r="H354" s="27">
        <f>DATE(YEAR(T_Ventes[[#This Row],[Date facture]]),MONTH(T_Ventes[[#This Row],[Date facture]]),1)</f>
        <v>45901</v>
      </c>
      <c r="I354" s="28">
        <f>YEAR(T_Ventes[[#This Row],[Date facture]])</f>
        <v>2025</v>
      </c>
    </row>
    <row r="355" spans="1:9" x14ac:dyDescent="0.3">
      <c r="A355" s="23">
        <v>45907</v>
      </c>
      <c r="B355" s="24" t="s">
        <v>450</v>
      </c>
      <c r="C355" s="24" t="s">
        <v>92</v>
      </c>
      <c r="D355" s="24" t="s">
        <v>64</v>
      </c>
      <c r="E355" s="25">
        <v>2024.66</v>
      </c>
      <c r="F355" s="25">
        <v>1548.38</v>
      </c>
      <c r="G355" s="26">
        <f>T_Ventes[[#This Row],[CA HT]]-T_Ventes[[#This Row],[Coût achat HT]]</f>
        <v>476.28</v>
      </c>
      <c r="H355" s="27">
        <f>DATE(YEAR(T_Ventes[[#This Row],[Date facture]]),MONTH(T_Ventes[[#This Row],[Date facture]]),1)</f>
        <v>45901</v>
      </c>
      <c r="I355" s="28">
        <f>YEAR(T_Ventes[[#This Row],[Date facture]])</f>
        <v>2025</v>
      </c>
    </row>
    <row r="356" spans="1:9" x14ac:dyDescent="0.3">
      <c r="A356" s="23">
        <v>45908</v>
      </c>
      <c r="B356" s="24" t="s">
        <v>451</v>
      </c>
      <c r="C356" s="24" t="s">
        <v>66</v>
      </c>
      <c r="D356" s="24" t="s">
        <v>64</v>
      </c>
      <c r="E356" s="25">
        <v>4459.8500000000004</v>
      </c>
      <c r="F356" s="25">
        <v>3373.93</v>
      </c>
      <c r="G356" s="26">
        <f>T_Ventes[[#This Row],[CA HT]]-T_Ventes[[#This Row],[Coût achat HT]]</f>
        <v>1085.9200000000005</v>
      </c>
      <c r="H356" s="27">
        <f>DATE(YEAR(T_Ventes[[#This Row],[Date facture]]),MONTH(T_Ventes[[#This Row],[Date facture]]),1)</f>
        <v>45901</v>
      </c>
      <c r="I356" s="28">
        <f>YEAR(T_Ventes[[#This Row],[Date facture]])</f>
        <v>2025</v>
      </c>
    </row>
    <row r="357" spans="1:9" x14ac:dyDescent="0.3">
      <c r="A357" s="23">
        <v>45908</v>
      </c>
      <c r="B357" s="24" t="s">
        <v>452</v>
      </c>
      <c r="C357" s="24" t="s">
        <v>354</v>
      </c>
      <c r="D357" s="24" t="s">
        <v>59</v>
      </c>
      <c r="E357" s="25">
        <v>6225.14</v>
      </c>
      <c r="F357" s="25">
        <v>2539.3200000000002</v>
      </c>
      <c r="G357" s="26">
        <f>T_Ventes[[#This Row],[CA HT]]-T_Ventes[[#This Row],[Coût achat HT]]</f>
        <v>3685.82</v>
      </c>
      <c r="H357" s="27">
        <f>DATE(YEAR(T_Ventes[[#This Row],[Date facture]]),MONTH(T_Ventes[[#This Row],[Date facture]]),1)</f>
        <v>45901</v>
      </c>
      <c r="I357" s="28">
        <f>YEAR(T_Ventes[[#This Row],[Date facture]])</f>
        <v>2025</v>
      </c>
    </row>
    <row r="358" spans="1:9" x14ac:dyDescent="0.3">
      <c r="A358" s="23">
        <v>45909</v>
      </c>
      <c r="B358" s="24" t="s">
        <v>453</v>
      </c>
      <c r="C358" s="24" t="s">
        <v>247</v>
      </c>
      <c r="D358" s="24" t="s">
        <v>64</v>
      </c>
      <c r="E358" s="25">
        <v>4483.92</v>
      </c>
      <c r="F358" s="25">
        <v>3412.07</v>
      </c>
      <c r="G358" s="26">
        <f>T_Ventes[[#This Row],[CA HT]]-T_Ventes[[#This Row],[Coût achat HT]]</f>
        <v>1071.8499999999999</v>
      </c>
      <c r="H358" s="27">
        <f>DATE(YEAR(T_Ventes[[#This Row],[Date facture]]),MONTH(T_Ventes[[#This Row],[Date facture]]),1)</f>
        <v>45901</v>
      </c>
      <c r="I358" s="28">
        <f>YEAR(T_Ventes[[#This Row],[Date facture]])</f>
        <v>2025</v>
      </c>
    </row>
    <row r="359" spans="1:9" x14ac:dyDescent="0.3">
      <c r="A359" s="23">
        <v>45909</v>
      </c>
      <c r="B359" s="24" t="s">
        <v>454</v>
      </c>
      <c r="C359" s="24" t="s">
        <v>68</v>
      </c>
      <c r="D359" s="24" t="s">
        <v>57</v>
      </c>
      <c r="E359" s="25">
        <v>4151.0600000000004</v>
      </c>
      <c r="F359" s="25">
        <v>2772.13</v>
      </c>
      <c r="G359" s="26">
        <f>T_Ventes[[#This Row],[CA HT]]-T_Ventes[[#This Row],[Coût achat HT]]</f>
        <v>1378.9300000000003</v>
      </c>
      <c r="H359" s="27">
        <f>DATE(YEAR(T_Ventes[[#This Row],[Date facture]]),MONTH(T_Ventes[[#This Row],[Date facture]]),1)</f>
        <v>45901</v>
      </c>
      <c r="I359" s="28">
        <f>YEAR(T_Ventes[[#This Row],[Date facture]])</f>
        <v>2025</v>
      </c>
    </row>
    <row r="360" spans="1:9" x14ac:dyDescent="0.3">
      <c r="A360" s="23">
        <v>45909</v>
      </c>
      <c r="B360" s="24" t="s">
        <v>455</v>
      </c>
      <c r="C360" s="24" t="s">
        <v>252</v>
      </c>
      <c r="D360" s="24" t="s">
        <v>57</v>
      </c>
      <c r="E360" s="25">
        <v>2209.48</v>
      </c>
      <c r="F360" s="25">
        <v>1474.9</v>
      </c>
      <c r="G360" s="26">
        <f>T_Ventes[[#This Row],[CA HT]]-T_Ventes[[#This Row],[Coût achat HT]]</f>
        <v>734.57999999999993</v>
      </c>
      <c r="H360" s="27">
        <f>DATE(YEAR(T_Ventes[[#This Row],[Date facture]]),MONTH(T_Ventes[[#This Row],[Date facture]]),1)</f>
        <v>45901</v>
      </c>
      <c r="I360" s="28">
        <f>YEAR(T_Ventes[[#This Row],[Date facture]])</f>
        <v>2025</v>
      </c>
    </row>
    <row r="361" spans="1:9" x14ac:dyDescent="0.3">
      <c r="A361" s="23">
        <v>45910</v>
      </c>
      <c r="B361" s="24" t="s">
        <v>456</v>
      </c>
      <c r="C361" s="24" t="s">
        <v>61</v>
      </c>
      <c r="D361" s="24" t="s">
        <v>64</v>
      </c>
      <c r="E361" s="25">
        <v>5732.07</v>
      </c>
      <c r="F361" s="25">
        <v>4385.79</v>
      </c>
      <c r="G361" s="26">
        <f>T_Ventes[[#This Row],[CA HT]]-T_Ventes[[#This Row],[Coût achat HT]]</f>
        <v>1346.2799999999997</v>
      </c>
      <c r="H361" s="27">
        <f>DATE(YEAR(T_Ventes[[#This Row],[Date facture]]),MONTH(T_Ventes[[#This Row],[Date facture]]),1)</f>
        <v>45901</v>
      </c>
      <c r="I361" s="28">
        <f>YEAR(T_Ventes[[#This Row],[Date facture]])</f>
        <v>2025</v>
      </c>
    </row>
    <row r="362" spans="1:9" x14ac:dyDescent="0.3">
      <c r="A362" s="23">
        <v>45910</v>
      </c>
      <c r="B362" s="24" t="s">
        <v>457</v>
      </c>
      <c r="C362" s="24" t="s">
        <v>56</v>
      </c>
      <c r="D362" s="24" t="s">
        <v>59</v>
      </c>
      <c r="E362" s="25">
        <v>2866.38</v>
      </c>
      <c r="F362" s="25">
        <v>1141.44</v>
      </c>
      <c r="G362" s="26">
        <f>T_Ventes[[#This Row],[CA HT]]-T_Ventes[[#This Row],[Coût achat HT]]</f>
        <v>1724.94</v>
      </c>
      <c r="H362" s="27">
        <f>DATE(YEAR(T_Ventes[[#This Row],[Date facture]]),MONTH(T_Ventes[[#This Row],[Date facture]]),1)</f>
        <v>45901</v>
      </c>
      <c r="I362" s="28">
        <f>YEAR(T_Ventes[[#This Row],[Date facture]])</f>
        <v>2025</v>
      </c>
    </row>
    <row r="363" spans="1:9" x14ac:dyDescent="0.3">
      <c r="A363" s="23">
        <v>45912</v>
      </c>
      <c r="B363" s="24" t="s">
        <v>458</v>
      </c>
      <c r="C363" s="24" t="s">
        <v>152</v>
      </c>
      <c r="D363" s="24" t="s">
        <v>64</v>
      </c>
      <c r="E363" s="25">
        <v>3488.06</v>
      </c>
      <c r="F363" s="25">
        <v>2670.66</v>
      </c>
      <c r="G363" s="26">
        <f>T_Ventes[[#This Row],[CA HT]]-T_Ventes[[#This Row],[Coût achat HT]]</f>
        <v>817.40000000000009</v>
      </c>
      <c r="H363" s="27">
        <f>DATE(YEAR(T_Ventes[[#This Row],[Date facture]]),MONTH(T_Ventes[[#This Row],[Date facture]]),1)</f>
        <v>45901</v>
      </c>
      <c r="I363" s="28">
        <f>YEAR(T_Ventes[[#This Row],[Date facture]])</f>
        <v>2025</v>
      </c>
    </row>
    <row r="364" spans="1:9" x14ac:dyDescent="0.3">
      <c r="A364" s="23">
        <v>45916</v>
      </c>
      <c r="B364" s="24" t="s">
        <v>459</v>
      </c>
      <c r="C364" s="24" t="s">
        <v>115</v>
      </c>
      <c r="D364" s="24" t="s">
        <v>64</v>
      </c>
      <c r="E364" s="25">
        <v>4852.55</v>
      </c>
      <c r="F364" s="25">
        <v>3709.21</v>
      </c>
      <c r="G364" s="26">
        <f>T_Ventes[[#This Row],[CA HT]]-T_Ventes[[#This Row],[Coût achat HT]]</f>
        <v>1143.3400000000001</v>
      </c>
      <c r="H364" s="27">
        <f>DATE(YEAR(T_Ventes[[#This Row],[Date facture]]),MONTH(T_Ventes[[#This Row],[Date facture]]),1)</f>
        <v>45901</v>
      </c>
      <c r="I364" s="28">
        <f>YEAR(T_Ventes[[#This Row],[Date facture]])</f>
        <v>2025</v>
      </c>
    </row>
    <row r="365" spans="1:9" x14ac:dyDescent="0.3">
      <c r="A365" s="23">
        <v>45916</v>
      </c>
      <c r="B365" s="24" t="s">
        <v>460</v>
      </c>
      <c r="C365" s="24" t="s">
        <v>76</v>
      </c>
      <c r="D365" s="24" t="s">
        <v>71</v>
      </c>
      <c r="E365" s="25">
        <v>1580.37</v>
      </c>
      <c r="F365" s="25">
        <v>930.53</v>
      </c>
      <c r="G365" s="26">
        <f>T_Ventes[[#This Row],[CA HT]]-T_Ventes[[#This Row],[Coût achat HT]]</f>
        <v>649.83999999999992</v>
      </c>
      <c r="H365" s="27">
        <f>DATE(YEAR(T_Ventes[[#This Row],[Date facture]]),MONTH(T_Ventes[[#This Row],[Date facture]]),1)</f>
        <v>45901</v>
      </c>
      <c r="I365" s="28">
        <f>YEAR(T_Ventes[[#This Row],[Date facture]])</f>
        <v>2025</v>
      </c>
    </row>
    <row r="366" spans="1:9" x14ac:dyDescent="0.3">
      <c r="A366" s="23">
        <v>45917</v>
      </c>
      <c r="B366" s="24" t="s">
        <v>461</v>
      </c>
      <c r="C366" s="24" t="s">
        <v>108</v>
      </c>
      <c r="D366" s="24" t="s">
        <v>64</v>
      </c>
      <c r="E366" s="25">
        <v>4288.33</v>
      </c>
      <c r="F366" s="25">
        <v>3292.82</v>
      </c>
      <c r="G366" s="26">
        <f>T_Ventes[[#This Row],[CA HT]]-T_Ventes[[#This Row],[Coût achat HT]]</f>
        <v>995.50999999999976</v>
      </c>
      <c r="H366" s="27">
        <f>DATE(YEAR(T_Ventes[[#This Row],[Date facture]]),MONTH(T_Ventes[[#This Row],[Date facture]]),1)</f>
        <v>45901</v>
      </c>
      <c r="I366" s="28">
        <f>YEAR(T_Ventes[[#This Row],[Date facture]])</f>
        <v>2025</v>
      </c>
    </row>
    <row r="367" spans="1:9" x14ac:dyDescent="0.3">
      <c r="A367" s="23">
        <v>45917</v>
      </c>
      <c r="B367" s="24" t="s">
        <v>462</v>
      </c>
      <c r="C367" s="24" t="s">
        <v>76</v>
      </c>
      <c r="D367" s="24" t="s">
        <v>57</v>
      </c>
      <c r="E367" s="25">
        <v>3039.56</v>
      </c>
      <c r="F367" s="25">
        <v>2025.29</v>
      </c>
      <c r="G367" s="26">
        <f>T_Ventes[[#This Row],[CA HT]]-T_Ventes[[#This Row],[Coût achat HT]]</f>
        <v>1014.27</v>
      </c>
      <c r="H367" s="27">
        <f>DATE(YEAR(T_Ventes[[#This Row],[Date facture]]),MONTH(T_Ventes[[#This Row],[Date facture]]),1)</f>
        <v>45901</v>
      </c>
      <c r="I367" s="28">
        <f>YEAR(T_Ventes[[#This Row],[Date facture]])</f>
        <v>2025</v>
      </c>
    </row>
    <row r="368" spans="1:9" x14ac:dyDescent="0.3">
      <c r="A368" s="23">
        <v>45917</v>
      </c>
      <c r="B368" s="24" t="s">
        <v>463</v>
      </c>
      <c r="C368" s="24" t="s">
        <v>61</v>
      </c>
      <c r="D368" s="24" t="s">
        <v>57</v>
      </c>
      <c r="E368" s="25">
        <v>5058.04</v>
      </c>
      <c r="F368" s="25">
        <v>3253.24</v>
      </c>
      <c r="G368" s="26">
        <f>T_Ventes[[#This Row],[CA HT]]-T_Ventes[[#This Row],[Coût achat HT]]</f>
        <v>1804.8000000000002</v>
      </c>
      <c r="H368" s="27">
        <f>DATE(YEAR(T_Ventes[[#This Row],[Date facture]]),MONTH(T_Ventes[[#This Row],[Date facture]]),1)</f>
        <v>45901</v>
      </c>
      <c r="I368" s="28">
        <f>YEAR(T_Ventes[[#This Row],[Date facture]])</f>
        <v>2025</v>
      </c>
    </row>
    <row r="369" spans="1:9" x14ac:dyDescent="0.3">
      <c r="A369" s="23">
        <v>45919</v>
      </c>
      <c r="B369" s="24" t="s">
        <v>464</v>
      </c>
      <c r="C369" s="24" t="s">
        <v>103</v>
      </c>
      <c r="D369" s="24" t="s">
        <v>57</v>
      </c>
      <c r="E369" s="25">
        <v>4750.91</v>
      </c>
      <c r="F369" s="25">
        <v>3063.04</v>
      </c>
      <c r="G369" s="26">
        <f>T_Ventes[[#This Row],[CA HT]]-T_Ventes[[#This Row],[Coût achat HT]]</f>
        <v>1687.87</v>
      </c>
      <c r="H369" s="27">
        <f>DATE(YEAR(T_Ventes[[#This Row],[Date facture]]),MONTH(T_Ventes[[#This Row],[Date facture]]),1)</f>
        <v>45901</v>
      </c>
      <c r="I369" s="28">
        <f>YEAR(T_Ventes[[#This Row],[Date facture]])</f>
        <v>2025</v>
      </c>
    </row>
    <row r="370" spans="1:9" x14ac:dyDescent="0.3">
      <c r="A370" s="23">
        <v>45919</v>
      </c>
      <c r="B370" s="24" t="s">
        <v>465</v>
      </c>
      <c r="C370" s="24" t="s">
        <v>94</v>
      </c>
      <c r="D370" s="24" t="s">
        <v>71</v>
      </c>
      <c r="E370" s="25">
        <v>6991.61</v>
      </c>
      <c r="F370" s="25">
        <v>4141.1899999999996</v>
      </c>
      <c r="G370" s="26">
        <f>T_Ventes[[#This Row],[CA HT]]-T_Ventes[[#This Row],[Coût achat HT]]</f>
        <v>2850.42</v>
      </c>
      <c r="H370" s="27">
        <f>DATE(YEAR(T_Ventes[[#This Row],[Date facture]]),MONTH(T_Ventes[[#This Row],[Date facture]]),1)</f>
        <v>45901</v>
      </c>
      <c r="I370" s="28">
        <f>YEAR(T_Ventes[[#This Row],[Date facture]])</f>
        <v>2025</v>
      </c>
    </row>
    <row r="371" spans="1:9" x14ac:dyDescent="0.3">
      <c r="A371" s="23">
        <v>45920</v>
      </c>
      <c r="B371" s="24" t="s">
        <v>466</v>
      </c>
      <c r="C371" s="24" t="s">
        <v>105</v>
      </c>
      <c r="D371" s="24" t="s">
        <v>64</v>
      </c>
      <c r="E371" s="25">
        <v>3714.76</v>
      </c>
      <c r="F371" s="25">
        <v>2804.96</v>
      </c>
      <c r="G371" s="26">
        <f>T_Ventes[[#This Row],[CA HT]]-T_Ventes[[#This Row],[Coût achat HT]]</f>
        <v>909.80000000000018</v>
      </c>
      <c r="H371" s="27">
        <f>DATE(YEAR(T_Ventes[[#This Row],[Date facture]]),MONTH(T_Ventes[[#This Row],[Date facture]]),1)</f>
        <v>45901</v>
      </c>
      <c r="I371" s="28">
        <f>YEAR(T_Ventes[[#This Row],[Date facture]])</f>
        <v>2025</v>
      </c>
    </row>
    <row r="372" spans="1:9" x14ac:dyDescent="0.3">
      <c r="A372" s="23">
        <v>45921</v>
      </c>
      <c r="B372" s="24" t="s">
        <v>467</v>
      </c>
      <c r="C372" s="24" t="s">
        <v>115</v>
      </c>
      <c r="D372" s="24" t="s">
        <v>71</v>
      </c>
      <c r="E372" s="25">
        <v>2143.4699999999998</v>
      </c>
      <c r="F372" s="25">
        <v>1297.07</v>
      </c>
      <c r="G372" s="26">
        <f>T_Ventes[[#This Row],[CA HT]]-T_Ventes[[#This Row],[Coût achat HT]]</f>
        <v>846.39999999999986</v>
      </c>
      <c r="H372" s="27">
        <f>DATE(YEAR(T_Ventes[[#This Row],[Date facture]]),MONTH(T_Ventes[[#This Row],[Date facture]]),1)</f>
        <v>45901</v>
      </c>
      <c r="I372" s="28">
        <f>YEAR(T_Ventes[[#This Row],[Date facture]])</f>
        <v>2025</v>
      </c>
    </row>
    <row r="373" spans="1:9" x14ac:dyDescent="0.3">
      <c r="A373" s="23">
        <v>45922</v>
      </c>
      <c r="B373" s="24" t="s">
        <v>468</v>
      </c>
      <c r="C373" s="24" t="s">
        <v>56</v>
      </c>
      <c r="D373" s="24" t="s">
        <v>64</v>
      </c>
      <c r="E373" s="25">
        <v>1321.51</v>
      </c>
      <c r="F373" s="25">
        <v>1018.99</v>
      </c>
      <c r="G373" s="26">
        <f>T_Ventes[[#This Row],[CA HT]]-T_Ventes[[#This Row],[Coût achat HT]]</f>
        <v>302.52</v>
      </c>
      <c r="H373" s="27">
        <f>DATE(YEAR(T_Ventes[[#This Row],[Date facture]]),MONTH(T_Ventes[[#This Row],[Date facture]]),1)</f>
        <v>45901</v>
      </c>
      <c r="I373" s="28">
        <f>YEAR(T_Ventes[[#This Row],[Date facture]])</f>
        <v>2025</v>
      </c>
    </row>
    <row r="374" spans="1:9" x14ac:dyDescent="0.3">
      <c r="A374" s="23">
        <v>45922</v>
      </c>
      <c r="B374" s="24" t="s">
        <v>469</v>
      </c>
      <c r="C374" s="24" t="s">
        <v>115</v>
      </c>
      <c r="D374" s="24" t="s">
        <v>57</v>
      </c>
      <c r="E374" s="25">
        <v>3857.33</v>
      </c>
      <c r="F374" s="25">
        <v>2589.09</v>
      </c>
      <c r="G374" s="26">
        <f>T_Ventes[[#This Row],[CA HT]]-T_Ventes[[#This Row],[Coût achat HT]]</f>
        <v>1268.2399999999998</v>
      </c>
      <c r="H374" s="27">
        <f>DATE(YEAR(T_Ventes[[#This Row],[Date facture]]),MONTH(T_Ventes[[#This Row],[Date facture]]),1)</f>
        <v>45901</v>
      </c>
      <c r="I374" s="28">
        <f>YEAR(T_Ventes[[#This Row],[Date facture]])</f>
        <v>2025</v>
      </c>
    </row>
    <row r="375" spans="1:9" x14ac:dyDescent="0.3">
      <c r="A375" s="23">
        <v>45923</v>
      </c>
      <c r="B375" s="24" t="s">
        <v>470</v>
      </c>
      <c r="C375" s="24" t="s">
        <v>80</v>
      </c>
      <c r="D375" s="24" t="s">
        <v>64</v>
      </c>
      <c r="E375" s="25">
        <v>4214.43</v>
      </c>
      <c r="F375" s="25">
        <v>3163.8</v>
      </c>
      <c r="G375" s="26">
        <f>T_Ventes[[#This Row],[CA HT]]-T_Ventes[[#This Row],[Coût achat HT]]</f>
        <v>1050.6300000000001</v>
      </c>
      <c r="H375" s="27">
        <f>DATE(YEAR(T_Ventes[[#This Row],[Date facture]]),MONTH(T_Ventes[[#This Row],[Date facture]]),1)</f>
        <v>45901</v>
      </c>
      <c r="I375" s="28">
        <f>YEAR(T_Ventes[[#This Row],[Date facture]])</f>
        <v>2025</v>
      </c>
    </row>
    <row r="376" spans="1:9" x14ac:dyDescent="0.3">
      <c r="A376" s="23">
        <v>45924</v>
      </c>
      <c r="B376" s="24" t="s">
        <v>471</v>
      </c>
      <c r="C376" s="24" t="s">
        <v>244</v>
      </c>
      <c r="D376" s="24" t="s">
        <v>64</v>
      </c>
      <c r="E376" s="25">
        <v>5476.34</v>
      </c>
      <c r="F376" s="25">
        <v>4184.2700000000004</v>
      </c>
      <c r="G376" s="26">
        <f>T_Ventes[[#This Row],[CA HT]]-T_Ventes[[#This Row],[Coût achat HT]]</f>
        <v>1292.0699999999997</v>
      </c>
      <c r="H376" s="27">
        <f>DATE(YEAR(T_Ventes[[#This Row],[Date facture]]),MONTH(T_Ventes[[#This Row],[Date facture]]),1)</f>
        <v>45901</v>
      </c>
      <c r="I376" s="28">
        <f>YEAR(T_Ventes[[#This Row],[Date facture]])</f>
        <v>2025</v>
      </c>
    </row>
    <row r="377" spans="1:9" x14ac:dyDescent="0.3">
      <c r="A377" s="23">
        <v>45924</v>
      </c>
      <c r="B377" s="24" t="s">
        <v>472</v>
      </c>
      <c r="C377" s="24" t="s">
        <v>252</v>
      </c>
      <c r="D377" s="24" t="s">
        <v>64</v>
      </c>
      <c r="E377" s="25">
        <v>5710.19</v>
      </c>
      <c r="F377" s="25">
        <v>4280.74</v>
      </c>
      <c r="G377" s="26">
        <f>T_Ventes[[#This Row],[CA HT]]-T_Ventes[[#This Row],[Coût achat HT]]</f>
        <v>1429.4499999999998</v>
      </c>
      <c r="H377" s="27">
        <f>DATE(YEAR(T_Ventes[[#This Row],[Date facture]]),MONTH(T_Ventes[[#This Row],[Date facture]]),1)</f>
        <v>45901</v>
      </c>
      <c r="I377" s="28">
        <f>YEAR(T_Ventes[[#This Row],[Date facture]])</f>
        <v>2025</v>
      </c>
    </row>
    <row r="378" spans="1:9" x14ac:dyDescent="0.3">
      <c r="A378" s="23">
        <v>45925</v>
      </c>
      <c r="B378" s="24" t="s">
        <v>473</v>
      </c>
      <c r="C378" s="24" t="s">
        <v>56</v>
      </c>
      <c r="D378" s="24" t="s">
        <v>71</v>
      </c>
      <c r="E378" s="25">
        <v>6705.67</v>
      </c>
      <c r="F378" s="25">
        <v>3978.2</v>
      </c>
      <c r="G378" s="26">
        <f>T_Ventes[[#This Row],[CA HT]]-T_Ventes[[#This Row],[Coût achat HT]]</f>
        <v>2727.4700000000003</v>
      </c>
      <c r="H378" s="27">
        <f>DATE(YEAR(T_Ventes[[#This Row],[Date facture]]),MONTH(T_Ventes[[#This Row],[Date facture]]),1)</f>
        <v>45901</v>
      </c>
      <c r="I378" s="28">
        <f>YEAR(T_Ventes[[#This Row],[Date facture]])</f>
        <v>2025</v>
      </c>
    </row>
    <row r="379" spans="1:9" x14ac:dyDescent="0.3">
      <c r="A379" s="23">
        <v>45925</v>
      </c>
      <c r="B379" s="24" t="s">
        <v>474</v>
      </c>
      <c r="C379" s="24" t="s">
        <v>76</v>
      </c>
      <c r="D379" s="24" t="s">
        <v>59</v>
      </c>
      <c r="E379" s="25">
        <v>1607.84</v>
      </c>
      <c r="F379" s="25">
        <v>652.20000000000005</v>
      </c>
      <c r="G379" s="26">
        <f>T_Ventes[[#This Row],[CA HT]]-T_Ventes[[#This Row],[Coût achat HT]]</f>
        <v>955.63999999999987</v>
      </c>
      <c r="H379" s="27">
        <f>DATE(YEAR(T_Ventes[[#This Row],[Date facture]]),MONTH(T_Ventes[[#This Row],[Date facture]]),1)</f>
        <v>45901</v>
      </c>
      <c r="I379" s="28">
        <f>YEAR(T_Ventes[[#This Row],[Date facture]])</f>
        <v>2025</v>
      </c>
    </row>
    <row r="380" spans="1:9" x14ac:dyDescent="0.3">
      <c r="A380" s="23">
        <v>45926</v>
      </c>
      <c r="B380" s="24" t="s">
        <v>475</v>
      </c>
      <c r="C380" s="24" t="s">
        <v>354</v>
      </c>
      <c r="D380" s="24" t="s">
        <v>64</v>
      </c>
      <c r="E380" s="25">
        <v>5410.23</v>
      </c>
      <c r="F380" s="25">
        <v>4159.5200000000004</v>
      </c>
      <c r="G380" s="26">
        <f>T_Ventes[[#This Row],[CA HT]]-T_Ventes[[#This Row],[Coût achat HT]]</f>
        <v>1250.7099999999991</v>
      </c>
      <c r="H380" s="27">
        <f>DATE(YEAR(T_Ventes[[#This Row],[Date facture]]),MONTH(T_Ventes[[#This Row],[Date facture]]),1)</f>
        <v>45901</v>
      </c>
      <c r="I380" s="28">
        <f>YEAR(T_Ventes[[#This Row],[Date facture]])</f>
        <v>2025</v>
      </c>
    </row>
    <row r="381" spans="1:9" x14ac:dyDescent="0.3">
      <c r="A381" s="23">
        <v>45926</v>
      </c>
      <c r="B381" s="24" t="s">
        <v>476</v>
      </c>
      <c r="C381" s="24" t="s">
        <v>115</v>
      </c>
      <c r="D381" s="24" t="s">
        <v>57</v>
      </c>
      <c r="E381" s="25">
        <v>4157.1099999999997</v>
      </c>
      <c r="F381" s="25">
        <v>2813.25</v>
      </c>
      <c r="G381" s="26">
        <f>T_Ventes[[#This Row],[CA HT]]-T_Ventes[[#This Row],[Coût achat HT]]</f>
        <v>1343.8599999999997</v>
      </c>
      <c r="H381" s="27">
        <f>DATE(YEAR(T_Ventes[[#This Row],[Date facture]]),MONTH(T_Ventes[[#This Row],[Date facture]]),1)</f>
        <v>45901</v>
      </c>
      <c r="I381" s="28">
        <f>YEAR(T_Ventes[[#This Row],[Date facture]])</f>
        <v>2025</v>
      </c>
    </row>
    <row r="382" spans="1:9" x14ac:dyDescent="0.3">
      <c r="A382" s="23">
        <v>45927</v>
      </c>
      <c r="B382" s="24" t="s">
        <v>477</v>
      </c>
      <c r="C382" s="24" t="s">
        <v>76</v>
      </c>
      <c r="D382" s="24" t="s">
        <v>64</v>
      </c>
      <c r="E382" s="25">
        <v>3803.12</v>
      </c>
      <c r="F382" s="25">
        <v>2896.53</v>
      </c>
      <c r="G382" s="26">
        <f>T_Ventes[[#This Row],[CA HT]]-T_Ventes[[#This Row],[Coût achat HT]]</f>
        <v>906.58999999999969</v>
      </c>
      <c r="H382" s="27">
        <f>DATE(YEAR(T_Ventes[[#This Row],[Date facture]]),MONTH(T_Ventes[[#This Row],[Date facture]]),1)</f>
        <v>45901</v>
      </c>
      <c r="I382" s="28">
        <f>YEAR(T_Ventes[[#This Row],[Date facture]])</f>
        <v>2025</v>
      </c>
    </row>
    <row r="383" spans="1:9" x14ac:dyDescent="0.3">
      <c r="A383" s="23">
        <v>45928</v>
      </c>
      <c r="B383" s="24" t="s">
        <v>478</v>
      </c>
      <c r="C383" s="24" t="s">
        <v>80</v>
      </c>
      <c r="D383" s="24" t="s">
        <v>64</v>
      </c>
      <c r="E383" s="25">
        <v>5026.2700000000004</v>
      </c>
      <c r="F383" s="25">
        <v>3814.7</v>
      </c>
      <c r="G383" s="26">
        <f>T_Ventes[[#This Row],[CA HT]]-T_Ventes[[#This Row],[Coût achat HT]]</f>
        <v>1211.5700000000006</v>
      </c>
      <c r="H383" s="27">
        <f>DATE(YEAR(T_Ventes[[#This Row],[Date facture]]),MONTH(T_Ventes[[#This Row],[Date facture]]),1)</f>
        <v>45901</v>
      </c>
      <c r="I383" s="28">
        <f>YEAR(T_Ventes[[#This Row],[Date facture]])</f>
        <v>2025</v>
      </c>
    </row>
    <row r="384" spans="1:9" x14ac:dyDescent="0.3">
      <c r="A384" s="23">
        <v>45931</v>
      </c>
      <c r="B384" s="24" t="s">
        <v>479</v>
      </c>
      <c r="C384" s="24" t="s">
        <v>80</v>
      </c>
      <c r="D384" s="24" t="s">
        <v>71</v>
      </c>
      <c r="E384" s="25">
        <v>3199.7</v>
      </c>
      <c r="F384" s="25">
        <v>1925.44</v>
      </c>
      <c r="G384" s="26">
        <f>T_Ventes[[#This Row],[CA HT]]-T_Ventes[[#This Row],[Coût achat HT]]</f>
        <v>1274.2599999999998</v>
      </c>
      <c r="H384" s="27">
        <f>DATE(YEAR(T_Ventes[[#This Row],[Date facture]]),MONTH(T_Ventes[[#This Row],[Date facture]]),1)</f>
        <v>45931</v>
      </c>
      <c r="I384" s="28">
        <f>YEAR(T_Ventes[[#This Row],[Date facture]])</f>
        <v>2025</v>
      </c>
    </row>
    <row r="385" spans="1:9" x14ac:dyDescent="0.3">
      <c r="A385" s="23">
        <v>45933</v>
      </c>
      <c r="B385" s="24" t="s">
        <v>480</v>
      </c>
      <c r="C385" s="24" t="s">
        <v>66</v>
      </c>
      <c r="D385" s="24" t="s">
        <v>59</v>
      </c>
      <c r="E385" s="25">
        <v>6473.76</v>
      </c>
      <c r="F385" s="25">
        <v>2438.4</v>
      </c>
      <c r="G385" s="26">
        <f>T_Ventes[[#This Row],[CA HT]]-T_Ventes[[#This Row],[Coût achat HT]]</f>
        <v>4035.36</v>
      </c>
      <c r="H385" s="27">
        <f>DATE(YEAR(T_Ventes[[#This Row],[Date facture]]),MONTH(T_Ventes[[#This Row],[Date facture]]),1)</f>
        <v>45931</v>
      </c>
      <c r="I385" s="28">
        <f>YEAR(T_Ventes[[#This Row],[Date facture]])</f>
        <v>2025</v>
      </c>
    </row>
    <row r="386" spans="1:9" x14ac:dyDescent="0.3">
      <c r="A386" s="23">
        <v>45934</v>
      </c>
      <c r="B386" s="24" t="s">
        <v>481</v>
      </c>
      <c r="C386" s="24" t="s">
        <v>56</v>
      </c>
      <c r="D386" s="24" t="s">
        <v>64</v>
      </c>
      <c r="E386" s="25">
        <v>7864.08</v>
      </c>
      <c r="F386" s="25">
        <v>5960.86</v>
      </c>
      <c r="G386" s="26">
        <f>T_Ventes[[#This Row],[CA HT]]-T_Ventes[[#This Row],[Coût achat HT]]</f>
        <v>1903.2200000000003</v>
      </c>
      <c r="H386" s="27">
        <f>DATE(YEAR(T_Ventes[[#This Row],[Date facture]]),MONTH(T_Ventes[[#This Row],[Date facture]]),1)</f>
        <v>45931</v>
      </c>
      <c r="I386" s="28">
        <f>YEAR(T_Ventes[[#This Row],[Date facture]])</f>
        <v>2025</v>
      </c>
    </row>
    <row r="387" spans="1:9" x14ac:dyDescent="0.3">
      <c r="A387" s="23">
        <v>45934</v>
      </c>
      <c r="B387" s="24" t="s">
        <v>482</v>
      </c>
      <c r="C387" s="24" t="s">
        <v>80</v>
      </c>
      <c r="D387" s="24" t="s">
        <v>59</v>
      </c>
      <c r="E387" s="25">
        <v>4829.09</v>
      </c>
      <c r="F387" s="25">
        <v>1713.08</v>
      </c>
      <c r="G387" s="26">
        <f>T_Ventes[[#This Row],[CA HT]]-T_Ventes[[#This Row],[Coût achat HT]]</f>
        <v>3116.01</v>
      </c>
      <c r="H387" s="27">
        <f>DATE(YEAR(T_Ventes[[#This Row],[Date facture]]),MONTH(T_Ventes[[#This Row],[Date facture]]),1)</f>
        <v>45931</v>
      </c>
      <c r="I387" s="28">
        <f>YEAR(T_Ventes[[#This Row],[Date facture]])</f>
        <v>2025</v>
      </c>
    </row>
    <row r="388" spans="1:9" x14ac:dyDescent="0.3">
      <c r="A388" s="23">
        <v>45935</v>
      </c>
      <c r="B388" s="24" t="s">
        <v>483</v>
      </c>
      <c r="C388" s="24" t="s">
        <v>66</v>
      </c>
      <c r="D388" s="24" t="s">
        <v>57</v>
      </c>
      <c r="E388" s="25">
        <v>4118.3100000000004</v>
      </c>
      <c r="F388" s="25">
        <v>2715.07</v>
      </c>
      <c r="G388" s="26">
        <f>T_Ventes[[#This Row],[CA HT]]-T_Ventes[[#This Row],[Coût achat HT]]</f>
        <v>1403.2400000000002</v>
      </c>
      <c r="H388" s="27">
        <f>DATE(YEAR(T_Ventes[[#This Row],[Date facture]]),MONTH(T_Ventes[[#This Row],[Date facture]]),1)</f>
        <v>45931</v>
      </c>
      <c r="I388" s="28">
        <f>YEAR(T_Ventes[[#This Row],[Date facture]])</f>
        <v>2025</v>
      </c>
    </row>
    <row r="389" spans="1:9" x14ac:dyDescent="0.3">
      <c r="A389" s="23">
        <v>45936</v>
      </c>
      <c r="B389" s="24" t="s">
        <v>484</v>
      </c>
      <c r="C389" s="24" t="s">
        <v>56</v>
      </c>
      <c r="D389" s="24" t="s">
        <v>71</v>
      </c>
      <c r="E389" s="25">
        <v>5466.77</v>
      </c>
      <c r="F389" s="25">
        <v>3218.98</v>
      </c>
      <c r="G389" s="26">
        <f>T_Ventes[[#This Row],[CA HT]]-T_Ventes[[#This Row],[Coût achat HT]]</f>
        <v>2247.7900000000004</v>
      </c>
      <c r="H389" s="27">
        <f>DATE(YEAR(T_Ventes[[#This Row],[Date facture]]),MONTH(T_Ventes[[#This Row],[Date facture]]),1)</f>
        <v>45931</v>
      </c>
      <c r="I389" s="28">
        <f>YEAR(T_Ventes[[#This Row],[Date facture]])</f>
        <v>2025</v>
      </c>
    </row>
    <row r="390" spans="1:9" x14ac:dyDescent="0.3">
      <c r="A390" s="23">
        <v>45937</v>
      </c>
      <c r="B390" s="24" t="s">
        <v>485</v>
      </c>
      <c r="C390" s="24" t="s">
        <v>128</v>
      </c>
      <c r="D390" s="24" t="s">
        <v>64</v>
      </c>
      <c r="E390" s="25">
        <v>7273.87</v>
      </c>
      <c r="F390" s="25">
        <v>5526.69</v>
      </c>
      <c r="G390" s="26">
        <f>T_Ventes[[#This Row],[CA HT]]-T_Ventes[[#This Row],[Coût achat HT]]</f>
        <v>1747.1800000000003</v>
      </c>
      <c r="H390" s="27">
        <f>DATE(YEAR(T_Ventes[[#This Row],[Date facture]]),MONTH(T_Ventes[[#This Row],[Date facture]]),1)</f>
        <v>45931</v>
      </c>
      <c r="I390" s="28">
        <f>YEAR(T_Ventes[[#This Row],[Date facture]])</f>
        <v>2025</v>
      </c>
    </row>
    <row r="391" spans="1:9" x14ac:dyDescent="0.3">
      <c r="A391" s="23">
        <v>45938</v>
      </c>
      <c r="B391" s="24" t="s">
        <v>486</v>
      </c>
      <c r="C391" s="24" t="s">
        <v>61</v>
      </c>
      <c r="D391" s="24" t="s">
        <v>57</v>
      </c>
      <c r="E391" s="25">
        <v>4819.93</v>
      </c>
      <c r="F391" s="25">
        <v>3239.62</v>
      </c>
      <c r="G391" s="26">
        <f>T_Ventes[[#This Row],[CA HT]]-T_Ventes[[#This Row],[Coût achat HT]]</f>
        <v>1580.3100000000004</v>
      </c>
      <c r="H391" s="27">
        <f>DATE(YEAR(T_Ventes[[#This Row],[Date facture]]),MONTH(T_Ventes[[#This Row],[Date facture]]),1)</f>
        <v>45931</v>
      </c>
      <c r="I391" s="28">
        <f>YEAR(T_Ventes[[#This Row],[Date facture]])</f>
        <v>2025</v>
      </c>
    </row>
    <row r="392" spans="1:9" x14ac:dyDescent="0.3">
      <c r="A392" s="23">
        <v>45939</v>
      </c>
      <c r="B392" s="24" t="s">
        <v>487</v>
      </c>
      <c r="C392" s="24" t="s">
        <v>63</v>
      </c>
      <c r="D392" s="24" t="s">
        <v>64</v>
      </c>
      <c r="E392" s="25">
        <v>3538.54</v>
      </c>
      <c r="F392" s="25">
        <v>2724.02</v>
      </c>
      <c r="G392" s="26">
        <f>T_Ventes[[#This Row],[CA HT]]-T_Ventes[[#This Row],[Coût achat HT]]</f>
        <v>814.52</v>
      </c>
      <c r="H392" s="27">
        <f>DATE(YEAR(T_Ventes[[#This Row],[Date facture]]),MONTH(T_Ventes[[#This Row],[Date facture]]),1)</f>
        <v>45931</v>
      </c>
      <c r="I392" s="28">
        <f>YEAR(T_Ventes[[#This Row],[Date facture]])</f>
        <v>2025</v>
      </c>
    </row>
    <row r="393" spans="1:9" x14ac:dyDescent="0.3">
      <c r="A393" s="23">
        <v>45939</v>
      </c>
      <c r="B393" s="24" t="s">
        <v>488</v>
      </c>
      <c r="C393" s="24" t="s">
        <v>56</v>
      </c>
      <c r="D393" s="24" t="s">
        <v>64</v>
      </c>
      <c r="E393" s="25">
        <v>4586.6000000000004</v>
      </c>
      <c r="F393" s="25">
        <v>3442.43</v>
      </c>
      <c r="G393" s="26">
        <f>T_Ventes[[#This Row],[CA HT]]-T_Ventes[[#This Row],[Coût achat HT]]</f>
        <v>1144.1700000000005</v>
      </c>
      <c r="H393" s="27">
        <f>DATE(YEAR(T_Ventes[[#This Row],[Date facture]]),MONTH(T_Ventes[[#This Row],[Date facture]]),1)</f>
        <v>45931</v>
      </c>
      <c r="I393" s="28">
        <f>YEAR(T_Ventes[[#This Row],[Date facture]])</f>
        <v>2025</v>
      </c>
    </row>
    <row r="394" spans="1:9" x14ac:dyDescent="0.3">
      <c r="A394" s="23">
        <v>45939</v>
      </c>
      <c r="B394" s="24" t="s">
        <v>489</v>
      </c>
      <c r="C394" s="24" t="s">
        <v>80</v>
      </c>
      <c r="D394" s="24" t="s">
        <v>71</v>
      </c>
      <c r="E394" s="25">
        <v>5321.66</v>
      </c>
      <c r="F394" s="25">
        <v>3141.8</v>
      </c>
      <c r="G394" s="26">
        <f>T_Ventes[[#This Row],[CA HT]]-T_Ventes[[#This Row],[Coût achat HT]]</f>
        <v>2179.8599999999997</v>
      </c>
      <c r="H394" s="27">
        <f>DATE(YEAR(T_Ventes[[#This Row],[Date facture]]),MONTH(T_Ventes[[#This Row],[Date facture]]),1)</f>
        <v>45931</v>
      </c>
      <c r="I394" s="28">
        <f>YEAR(T_Ventes[[#This Row],[Date facture]])</f>
        <v>2025</v>
      </c>
    </row>
    <row r="395" spans="1:9" x14ac:dyDescent="0.3">
      <c r="A395" s="23">
        <v>45939</v>
      </c>
      <c r="B395" s="24" t="s">
        <v>490</v>
      </c>
      <c r="C395" s="24" t="s">
        <v>80</v>
      </c>
      <c r="D395" s="24" t="s">
        <v>59</v>
      </c>
      <c r="E395" s="25">
        <v>1912.14</v>
      </c>
      <c r="F395" s="25">
        <v>711.22</v>
      </c>
      <c r="G395" s="26">
        <f>T_Ventes[[#This Row],[CA HT]]-T_Ventes[[#This Row],[Coût achat HT]]</f>
        <v>1200.92</v>
      </c>
      <c r="H395" s="27">
        <f>DATE(YEAR(T_Ventes[[#This Row],[Date facture]]),MONTH(T_Ventes[[#This Row],[Date facture]]),1)</f>
        <v>45931</v>
      </c>
      <c r="I395" s="28">
        <f>YEAR(T_Ventes[[#This Row],[Date facture]])</f>
        <v>2025</v>
      </c>
    </row>
    <row r="396" spans="1:9" x14ac:dyDescent="0.3">
      <c r="A396" s="23">
        <v>45940</v>
      </c>
      <c r="B396" s="24" t="s">
        <v>491</v>
      </c>
      <c r="C396" s="24" t="s">
        <v>56</v>
      </c>
      <c r="D396" s="24" t="s">
        <v>57</v>
      </c>
      <c r="E396" s="25">
        <v>5827.39</v>
      </c>
      <c r="F396" s="25">
        <v>3921.27</v>
      </c>
      <c r="G396" s="26">
        <f>T_Ventes[[#This Row],[CA HT]]-T_Ventes[[#This Row],[Coût achat HT]]</f>
        <v>1906.1200000000003</v>
      </c>
      <c r="H396" s="27">
        <f>DATE(YEAR(T_Ventes[[#This Row],[Date facture]]),MONTH(T_Ventes[[#This Row],[Date facture]]),1)</f>
        <v>45931</v>
      </c>
      <c r="I396" s="28">
        <f>YEAR(T_Ventes[[#This Row],[Date facture]])</f>
        <v>2025</v>
      </c>
    </row>
    <row r="397" spans="1:9" x14ac:dyDescent="0.3">
      <c r="A397" s="23">
        <v>45941</v>
      </c>
      <c r="B397" s="24" t="s">
        <v>492</v>
      </c>
      <c r="C397" s="24" t="s">
        <v>56</v>
      </c>
      <c r="D397" s="24" t="s">
        <v>64</v>
      </c>
      <c r="E397" s="25">
        <v>6971.44</v>
      </c>
      <c r="F397" s="25">
        <v>5298.57</v>
      </c>
      <c r="G397" s="26">
        <f>T_Ventes[[#This Row],[CA HT]]-T_Ventes[[#This Row],[Coût achat HT]]</f>
        <v>1672.87</v>
      </c>
      <c r="H397" s="27">
        <f>DATE(YEAR(T_Ventes[[#This Row],[Date facture]]),MONTH(T_Ventes[[#This Row],[Date facture]]),1)</f>
        <v>45931</v>
      </c>
      <c r="I397" s="28">
        <f>YEAR(T_Ventes[[#This Row],[Date facture]])</f>
        <v>2025</v>
      </c>
    </row>
    <row r="398" spans="1:9" x14ac:dyDescent="0.3">
      <c r="A398" s="23">
        <v>45941</v>
      </c>
      <c r="B398" s="24" t="s">
        <v>493</v>
      </c>
      <c r="C398" s="24" t="s">
        <v>56</v>
      </c>
      <c r="D398" s="24" t="s">
        <v>71</v>
      </c>
      <c r="E398" s="25">
        <v>1110.99</v>
      </c>
      <c r="F398" s="25">
        <v>669.09</v>
      </c>
      <c r="G398" s="26">
        <f>T_Ventes[[#This Row],[CA HT]]-T_Ventes[[#This Row],[Coût achat HT]]</f>
        <v>441.9</v>
      </c>
      <c r="H398" s="27">
        <f>DATE(YEAR(T_Ventes[[#This Row],[Date facture]]),MONTH(T_Ventes[[#This Row],[Date facture]]),1)</f>
        <v>45931</v>
      </c>
      <c r="I398" s="28">
        <f>YEAR(T_Ventes[[#This Row],[Date facture]])</f>
        <v>2025</v>
      </c>
    </row>
    <row r="399" spans="1:9" x14ac:dyDescent="0.3">
      <c r="A399" s="23">
        <v>45942</v>
      </c>
      <c r="B399" s="24" t="s">
        <v>494</v>
      </c>
      <c r="C399" s="24" t="s">
        <v>56</v>
      </c>
      <c r="D399" s="24" t="s">
        <v>57</v>
      </c>
      <c r="E399" s="25">
        <v>5291.62</v>
      </c>
      <c r="F399" s="25">
        <v>3571.59</v>
      </c>
      <c r="G399" s="26">
        <f>T_Ventes[[#This Row],[CA HT]]-T_Ventes[[#This Row],[Coût achat HT]]</f>
        <v>1720.0299999999997</v>
      </c>
      <c r="H399" s="27">
        <f>DATE(YEAR(T_Ventes[[#This Row],[Date facture]]),MONTH(T_Ventes[[#This Row],[Date facture]]),1)</f>
        <v>45931</v>
      </c>
      <c r="I399" s="28">
        <f>YEAR(T_Ventes[[#This Row],[Date facture]])</f>
        <v>2025</v>
      </c>
    </row>
    <row r="400" spans="1:9" x14ac:dyDescent="0.3">
      <c r="A400" s="23">
        <v>45942</v>
      </c>
      <c r="B400" s="24" t="s">
        <v>495</v>
      </c>
      <c r="C400" s="24" t="s">
        <v>66</v>
      </c>
      <c r="D400" s="24" t="s">
        <v>71</v>
      </c>
      <c r="E400" s="25">
        <v>5665.14</v>
      </c>
      <c r="F400" s="25">
        <v>3352.65</v>
      </c>
      <c r="G400" s="26">
        <f>T_Ventes[[#This Row],[CA HT]]-T_Ventes[[#This Row],[Coût achat HT]]</f>
        <v>2312.4900000000002</v>
      </c>
      <c r="H400" s="27">
        <f>DATE(YEAR(T_Ventes[[#This Row],[Date facture]]),MONTH(T_Ventes[[#This Row],[Date facture]]),1)</f>
        <v>45931</v>
      </c>
      <c r="I400" s="28">
        <f>YEAR(T_Ventes[[#This Row],[Date facture]])</f>
        <v>2025</v>
      </c>
    </row>
    <row r="401" spans="1:9" x14ac:dyDescent="0.3">
      <c r="A401" s="23">
        <v>45943</v>
      </c>
      <c r="B401" s="24" t="s">
        <v>496</v>
      </c>
      <c r="C401" s="24" t="s">
        <v>70</v>
      </c>
      <c r="D401" s="24" t="s">
        <v>64</v>
      </c>
      <c r="E401" s="25">
        <v>6405.92</v>
      </c>
      <c r="F401" s="25">
        <v>4910.04</v>
      </c>
      <c r="G401" s="26">
        <f>T_Ventes[[#This Row],[CA HT]]-T_Ventes[[#This Row],[Coût achat HT]]</f>
        <v>1495.88</v>
      </c>
      <c r="H401" s="27">
        <f>DATE(YEAR(T_Ventes[[#This Row],[Date facture]]),MONTH(T_Ventes[[#This Row],[Date facture]]),1)</f>
        <v>45931</v>
      </c>
      <c r="I401" s="28">
        <f>YEAR(T_Ventes[[#This Row],[Date facture]])</f>
        <v>2025</v>
      </c>
    </row>
    <row r="402" spans="1:9" x14ac:dyDescent="0.3">
      <c r="A402" s="23">
        <v>45943</v>
      </c>
      <c r="B402" s="24" t="s">
        <v>497</v>
      </c>
      <c r="C402" s="24" t="s">
        <v>115</v>
      </c>
      <c r="D402" s="24" t="s">
        <v>64</v>
      </c>
      <c r="E402" s="25">
        <v>5148.97</v>
      </c>
      <c r="F402" s="25">
        <v>3874.37</v>
      </c>
      <c r="G402" s="26">
        <f>T_Ventes[[#This Row],[CA HT]]-T_Ventes[[#This Row],[Coût achat HT]]</f>
        <v>1274.6000000000004</v>
      </c>
      <c r="H402" s="27">
        <f>DATE(YEAR(T_Ventes[[#This Row],[Date facture]]),MONTH(T_Ventes[[#This Row],[Date facture]]),1)</f>
        <v>45931</v>
      </c>
      <c r="I402" s="28">
        <f>YEAR(T_Ventes[[#This Row],[Date facture]])</f>
        <v>2025</v>
      </c>
    </row>
    <row r="403" spans="1:9" x14ac:dyDescent="0.3">
      <c r="A403" s="23">
        <v>45943</v>
      </c>
      <c r="B403" s="24" t="s">
        <v>498</v>
      </c>
      <c r="C403" s="24" t="s">
        <v>348</v>
      </c>
      <c r="D403" s="24" t="s">
        <v>71</v>
      </c>
      <c r="E403" s="25">
        <v>5444.15</v>
      </c>
      <c r="F403" s="25">
        <v>3169.71</v>
      </c>
      <c r="G403" s="26">
        <f>T_Ventes[[#This Row],[CA HT]]-T_Ventes[[#This Row],[Coût achat HT]]</f>
        <v>2274.4399999999996</v>
      </c>
      <c r="H403" s="27">
        <f>DATE(YEAR(T_Ventes[[#This Row],[Date facture]]),MONTH(T_Ventes[[#This Row],[Date facture]]),1)</f>
        <v>45931</v>
      </c>
      <c r="I403" s="28">
        <f>YEAR(T_Ventes[[#This Row],[Date facture]])</f>
        <v>2025</v>
      </c>
    </row>
    <row r="404" spans="1:9" x14ac:dyDescent="0.3">
      <c r="A404" s="23">
        <v>45943</v>
      </c>
      <c r="B404" s="24" t="s">
        <v>499</v>
      </c>
      <c r="C404" s="24" t="s">
        <v>128</v>
      </c>
      <c r="D404" s="24" t="s">
        <v>71</v>
      </c>
      <c r="E404" s="25">
        <v>4790.8100000000004</v>
      </c>
      <c r="F404" s="25">
        <v>2859.11</v>
      </c>
      <c r="G404" s="26">
        <f>T_Ventes[[#This Row],[CA HT]]-T_Ventes[[#This Row],[Coût achat HT]]</f>
        <v>1931.7000000000003</v>
      </c>
      <c r="H404" s="27">
        <f>DATE(YEAR(T_Ventes[[#This Row],[Date facture]]),MONTH(T_Ventes[[#This Row],[Date facture]]),1)</f>
        <v>45931</v>
      </c>
      <c r="I404" s="28">
        <f>YEAR(T_Ventes[[#This Row],[Date facture]])</f>
        <v>2025</v>
      </c>
    </row>
    <row r="405" spans="1:9" x14ac:dyDescent="0.3">
      <c r="A405" s="23">
        <v>45944</v>
      </c>
      <c r="B405" s="24" t="s">
        <v>500</v>
      </c>
      <c r="C405" s="24" t="s">
        <v>56</v>
      </c>
      <c r="D405" s="24" t="s">
        <v>64</v>
      </c>
      <c r="E405" s="25">
        <v>1848.82</v>
      </c>
      <c r="F405" s="25">
        <v>1402.53</v>
      </c>
      <c r="G405" s="26">
        <f>T_Ventes[[#This Row],[CA HT]]-T_Ventes[[#This Row],[Coût achat HT]]</f>
        <v>446.28999999999996</v>
      </c>
      <c r="H405" s="27">
        <f>DATE(YEAR(T_Ventes[[#This Row],[Date facture]]),MONTH(T_Ventes[[#This Row],[Date facture]]),1)</f>
        <v>45931</v>
      </c>
      <c r="I405" s="28">
        <f>YEAR(T_Ventes[[#This Row],[Date facture]])</f>
        <v>2025</v>
      </c>
    </row>
    <row r="406" spans="1:9" x14ac:dyDescent="0.3">
      <c r="A406" s="23">
        <v>45945</v>
      </c>
      <c r="B406" s="24" t="s">
        <v>501</v>
      </c>
      <c r="C406" s="24" t="s">
        <v>84</v>
      </c>
      <c r="D406" s="24" t="s">
        <v>57</v>
      </c>
      <c r="E406" s="25">
        <v>6360.81</v>
      </c>
      <c r="F406" s="25">
        <v>4300.8100000000004</v>
      </c>
      <c r="G406" s="26">
        <f>T_Ventes[[#This Row],[CA HT]]-T_Ventes[[#This Row],[Coût achat HT]]</f>
        <v>2060</v>
      </c>
      <c r="H406" s="27">
        <f>DATE(YEAR(T_Ventes[[#This Row],[Date facture]]),MONTH(T_Ventes[[#This Row],[Date facture]]),1)</f>
        <v>45931</v>
      </c>
      <c r="I406" s="28">
        <f>YEAR(T_Ventes[[#This Row],[Date facture]])</f>
        <v>2025</v>
      </c>
    </row>
    <row r="407" spans="1:9" x14ac:dyDescent="0.3">
      <c r="A407" s="23">
        <v>45946</v>
      </c>
      <c r="B407" s="24" t="s">
        <v>502</v>
      </c>
      <c r="C407" s="24" t="s">
        <v>56</v>
      </c>
      <c r="D407" s="24" t="s">
        <v>64</v>
      </c>
      <c r="E407" s="25">
        <v>5194.9399999999996</v>
      </c>
      <c r="F407" s="25">
        <v>3994.42</v>
      </c>
      <c r="G407" s="26">
        <f>T_Ventes[[#This Row],[CA HT]]-T_Ventes[[#This Row],[Coût achat HT]]</f>
        <v>1200.5199999999995</v>
      </c>
      <c r="H407" s="27">
        <f>DATE(YEAR(T_Ventes[[#This Row],[Date facture]]),MONTH(T_Ventes[[#This Row],[Date facture]]),1)</f>
        <v>45931</v>
      </c>
      <c r="I407" s="28">
        <f>YEAR(T_Ventes[[#This Row],[Date facture]])</f>
        <v>2025</v>
      </c>
    </row>
    <row r="408" spans="1:9" x14ac:dyDescent="0.3">
      <c r="A408" s="23">
        <v>45946</v>
      </c>
      <c r="B408" s="24" t="s">
        <v>503</v>
      </c>
      <c r="C408" s="24" t="s">
        <v>84</v>
      </c>
      <c r="D408" s="24" t="s">
        <v>64</v>
      </c>
      <c r="E408" s="25">
        <v>7311.5</v>
      </c>
      <c r="F408" s="25">
        <v>5626.8</v>
      </c>
      <c r="G408" s="26">
        <f>T_Ventes[[#This Row],[CA HT]]-T_Ventes[[#This Row],[Coût achat HT]]</f>
        <v>1684.6999999999998</v>
      </c>
      <c r="H408" s="27">
        <f>DATE(YEAR(T_Ventes[[#This Row],[Date facture]]),MONTH(T_Ventes[[#This Row],[Date facture]]),1)</f>
        <v>45931</v>
      </c>
      <c r="I408" s="28">
        <f>YEAR(T_Ventes[[#This Row],[Date facture]])</f>
        <v>2025</v>
      </c>
    </row>
    <row r="409" spans="1:9" x14ac:dyDescent="0.3">
      <c r="A409" s="23">
        <v>45946</v>
      </c>
      <c r="B409" s="24" t="s">
        <v>504</v>
      </c>
      <c r="C409" s="24" t="s">
        <v>121</v>
      </c>
      <c r="D409" s="24" t="s">
        <v>64</v>
      </c>
      <c r="E409" s="25">
        <v>1589.84</v>
      </c>
      <c r="F409" s="25">
        <v>1201.98</v>
      </c>
      <c r="G409" s="26">
        <f>T_Ventes[[#This Row],[CA HT]]-T_Ventes[[#This Row],[Coût achat HT]]</f>
        <v>387.8599999999999</v>
      </c>
      <c r="H409" s="27">
        <f>DATE(YEAR(T_Ventes[[#This Row],[Date facture]]),MONTH(T_Ventes[[#This Row],[Date facture]]),1)</f>
        <v>45931</v>
      </c>
      <c r="I409" s="28">
        <f>YEAR(T_Ventes[[#This Row],[Date facture]])</f>
        <v>2025</v>
      </c>
    </row>
    <row r="410" spans="1:9" x14ac:dyDescent="0.3">
      <c r="A410" s="23">
        <v>45946</v>
      </c>
      <c r="B410" s="24" t="s">
        <v>505</v>
      </c>
      <c r="C410" s="24" t="s">
        <v>410</v>
      </c>
      <c r="D410" s="24" t="s">
        <v>64</v>
      </c>
      <c r="E410" s="25">
        <v>5935.57</v>
      </c>
      <c r="F410" s="25">
        <v>4537.53</v>
      </c>
      <c r="G410" s="26">
        <f>T_Ventes[[#This Row],[CA HT]]-T_Ventes[[#This Row],[Coût achat HT]]</f>
        <v>1398.04</v>
      </c>
      <c r="H410" s="27">
        <f>DATE(YEAR(T_Ventes[[#This Row],[Date facture]]),MONTH(T_Ventes[[#This Row],[Date facture]]),1)</f>
        <v>45931</v>
      </c>
      <c r="I410" s="28">
        <f>YEAR(T_Ventes[[#This Row],[Date facture]])</f>
        <v>2025</v>
      </c>
    </row>
    <row r="411" spans="1:9" x14ac:dyDescent="0.3">
      <c r="A411" s="23">
        <v>45948</v>
      </c>
      <c r="B411" s="24" t="s">
        <v>506</v>
      </c>
      <c r="C411" s="24" t="s">
        <v>173</v>
      </c>
      <c r="D411" s="24" t="s">
        <v>64</v>
      </c>
      <c r="E411" s="25">
        <v>6446.93</v>
      </c>
      <c r="F411" s="25">
        <v>4968.28</v>
      </c>
      <c r="G411" s="26">
        <f>T_Ventes[[#This Row],[CA HT]]-T_Ventes[[#This Row],[Coût achat HT]]</f>
        <v>1478.6500000000005</v>
      </c>
      <c r="H411" s="27">
        <f>DATE(YEAR(T_Ventes[[#This Row],[Date facture]]),MONTH(T_Ventes[[#This Row],[Date facture]]),1)</f>
        <v>45931</v>
      </c>
      <c r="I411" s="28">
        <f>YEAR(T_Ventes[[#This Row],[Date facture]])</f>
        <v>2025</v>
      </c>
    </row>
    <row r="412" spans="1:9" x14ac:dyDescent="0.3">
      <c r="A412" s="23">
        <v>45948</v>
      </c>
      <c r="B412" s="24" t="s">
        <v>507</v>
      </c>
      <c r="C412" s="24" t="s">
        <v>56</v>
      </c>
      <c r="D412" s="24" t="s">
        <v>57</v>
      </c>
      <c r="E412" s="25">
        <v>6062.68</v>
      </c>
      <c r="F412" s="25">
        <v>4082.74</v>
      </c>
      <c r="G412" s="26">
        <f>T_Ventes[[#This Row],[CA HT]]-T_Ventes[[#This Row],[Coût achat HT]]</f>
        <v>1979.9400000000005</v>
      </c>
      <c r="H412" s="27">
        <f>DATE(YEAR(T_Ventes[[#This Row],[Date facture]]),MONTH(T_Ventes[[#This Row],[Date facture]]),1)</f>
        <v>45931</v>
      </c>
      <c r="I412" s="28">
        <f>YEAR(T_Ventes[[#This Row],[Date facture]])</f>
        <v>2025</v>
      </c>
    </row>
    <row r="413" spans="1:9" x14ac:dyDescent="0.3">
      <c r="A413" s="23">
        <v>45949</v>
      </c>
      <c r="B413" s="24" t="s">
        <v>508</v>
      </c>
      <c r="C413" s="24" t="s">
        <v>162</v>
      </c>
      <c r="D413" s="24" t="s">
        <v>57</v>
      </c>
      <c r="E413" s="25">
        <v>3877.98</v>
      </c>
      <c r="F413" s="25">
        <v>2566.09</v>
      </c>
      <c r="G413" s="26">
        <f>T_Ventes[[#This Row],[CA HT]]-T_Ventes[[#This Row],[Coût achat HT]]</f>
        <v>1311.8899999999999</v>
      </c>
      <c r="H413" s="27">
        <f>DATE(YEAR(T_Ventes[[#This Row],[Date facture]]),MONTH(T_Ventes[[#This Row],[Date facture]]),1)</f>
        <v>45931</v>
      </c>
      <c r="I413" s="28">
        <f>YEAR(T_Ventes[[#This Row],[Date facture]])</f>
        <v>2025</v>
      </c>
    </row>
    <row r="414" spans="1:9" x14ac:dyDescent="0.3">
      <c r="A414" s="23">
        <v>45950</v>
      </c>
      <c r="B414" s="24" t="s">
        <v>509</v>
      </c>
      <c r="C414" s="24" t="s">
        <v>128</v>
      </c>
      <c r="D414" s="24" t="s">
        <v>64</v>
      </c>
      <c r="E414" s="25">
        <v>4060.22</v>
      </c>
      <c r="F414" s="25">
        <v>3045.33</v>
      </c>
      <c r="G414" s="26">
        <f>T_Ventes[[#This Row],[CA HT]]-T_Ventes[[#This Row],[Coût achat HT]]</f>
        <v>1014.8899999999999</v>
      </c>
      <c r="H414" s="27">
        <f>DATE(YEAR(T_Ventes[[#This Row],[Date facture]]),MONTH(T_Ventes[[#This Row],[Date facture]]),1)</f>
        <v>45931</v>
      </c>
      <c r="I414" s="28">
        <f>YEAR(T_Ventes[[#This Row],[Date facture]])</f>
        <v>2025</v>
      </c>
    </row>
    <row r="415" spans="1:9" x14ac:dyDescent="0.3">
      <c r="A415" s="23">
        <v>45951</v>
      </c>
      <c r="B415" s="24" t="s">
        <v>510</v>
      </c>
      <c r="C415" s="24" t="s">
        <v>56</v>
      </c>
      <c r="D415" s="24" t="s">
        <v>57</v>
      </c>
      <c r="E415" s="25">
        <v>5393.7</v>
      </c>
      <c r="F415" s="25">
        <v>3514.53</v>
      </c>
      <c r="G415" s="26">
        <f>T_Ventes[[#This Row],[CA HT]]-T_Ventes[[#This Row],[Coût achat HT]]</f>
        <v>1879.1699999999996</v>
      </c>
      <c r="H415" s="27">
        <f>DATE(YEAR(T_Ventes[[#This Row],[Date facture]]),MONTH(T_Ventes[[#This Row],[Date facture]]),1)</f>
        <v>45931</v>
      </c>
      <c r="I415" s="28">
        <f>YEAR(T_Ventes[[#This Row],[Date facture]])</f>
        <v>2025</v>
      </c>
    </row>
    <row r="416" spans="1:9" x14ac:dyDescent="0.3">
      <c r="A416" s="23">
        <v>45951</v>
      </c>
      <c r="B416" s="24" t="s">
        <v>511</v>
      </c>
      <c r="C416" s="24" t="s">
        <v>56</v>
      </c>
      <c r="D416" s="24" t="s">
        <v>57</v>
      </c>
      <c r="E416" s="25">
        <v>1992.78</v>
      </c>
      <c r="F416" s="25">
        <v>1282.32</v>
      </c>
      <c r="G416" s="26">
        <f>T_Ventes[[#This Row],[CA HT]]-T_Ventes[[#This Row],[Coût achat HT]]</f>
        <v>710.46</v>
      </c>
      <c r="H416" s="27">
        <f>DATE(YEAR(T_Ventes[[#This Row],[Date facture]]),MONTH(T_Ventes[[#This Row],[Date facture]]),1)</f>
        <v>45931</v>
      </c>
      <c r="I416" s="28">
        <f>YEAR(T_Ventes[[#This Row],[Date facture]])</f>
        <v>2025</v>
      </c>
    </row>
    <row r="417" spans="1:9" x14ac:dyDescent="0.3">
      <c r="A417" s="23">
        <v>45952</v>
      </c>
      <c r="B417" s="24" t="s">
        <v>512</v>
      </c>
      <c r="C417" s="24" t="s">
        <v>247</v>
      </c>
      <c r="D417" s="24" t="s">
        <v>64</v>
      </c>
      <c r="E417" s="25">
        <v>6052.48</v>
      </c>
      <c r="F417" s="25">
        <v>4569.93</v>
      </c>
      <c r="G417" s="26">
        <f>T_Ventes[[#This Row],[CA HT]]-T_Ventes[[#This Row],[Coût achat HT]]</f>
        <v>1482.5499999999993</v>
      </c>
      <c r="H417" s="27">
        <f>DATE(YEAR(T_Ventes[[#This Row],[Date facture]]),MONTH(T_Ventes[[#This Row],[Date facture]]),1)</f>
        <v>45931</v>
      </c>
      <c r="I417" s="28">
        <f>YEAR(T_Ventes[[#This Row],[Date facture]])</f>
        <v>2025</v>
      </c>
    </row>
    <row r="418" spans="1:9" x14ac:dyDescent="0.3">
      <c r="A418" s="23">
        <v>45952</v>
      </c>
      <c r="B418" s="24" t="s">
        <v>513</v>
      </c>
      <c r="C418" s="24" t="s">
        <v>78</v>
      </c>
      <c r="D418" s="24" t="s">
        <v>57</v>
      </c>
      <c r="E418" s="25">
        <v>5643.42</v>
      </c>
      <c r="F418" s="25">
        <v>3699</v>
      </c>
      <c r="G418" s="26">
        <f>T_Ventes[[#This Row],[CA HT]]-T_Ventes[[#This Row],[Coût achat HT]]</f>
        <v>1944.42</v>
      </c>
      <c r="H418" s="27">
        <f>DATE(YEAR(T_Ventes[[#This Row],[Date facture]]),MONTH(T_Ventes[[#This Row],[Date facture]]),1)</f>
        <v>45931</v>
      </c>
      <c r="I418" s="28">
        <f>YEAR(T_Ventes[[#This Row],[Date facture]])</f>
        <v>2025</v>
      </c>
    </row>
    <row r="419" spans="1:9" x14ac:dyDescent="0.3">
      <c r="A419" s="23">
        <v>45953</v>
      </c>
      <c r="B419" s="24" t="s">
        <v>514</v>
      </c>
      <c r="C419" s="24" t="s">
        <v>177</v>
      </c>
      <c r="D419" s="24" t="s">
        <v>71</v>
      </c>
      <c r="E419" s="25">
        <v>1409.96</v>
      </c>
      <c r="F419" s="25">
        <v>857.73</v>
      </c>
      <c r="G419" s="26">
        <f>T_Ventes[[#This Row],[CA HT]]-T_Ventes[[#This Row],[Coût achat HT]]</f>
        <v>552.23</v>
      </c>
      <c r="H419" s="27">
        <f>DATE(YEAR(T_Ventes[[#This Row],[Date facture]]),MONTH(T_Ventes[[#This Row],[Date facture]]),1)</f>
        <v>45931</v>
      </c>
      <c r="I419" s="28">
        <f>YEAR(T_Ventes[[#This Row],[Date facture]])</f>
        <v>2025</v>
      </c>
    </row>
    <row r="420" spans="1:9" x14ac:dyDescent="0.3">
      <c r="A420" s="23">
        <v>45954</v>
      </c>
      <c r="B420" s="24" t="s">
        <v>515</v>
      </c>
      <c r="C420" s="24" t="s">
        <v>123</v>
      </c>
      <c r="D420" s="24" t="s">
        <v>64</v>
      </c>
      <c r="E420" s="25">
        <v>2482.6</v>
      </c>
      <c r="F420" s="25">
        <v>1905.23</v>
      </c>
      <c r="G420" s="26">
        <f>T_Ventes[[#This Row],[CA HT]]-T_Ventes[[#This Row],[Coût achat HT]]</f>
        <v>577.36999999999989</v>
      </c>
      <c r="H420" s="27">
        <f>DATE(YEAR(T_Ventes[[#This Row],[Date facture]]),MONTH(T_Ventes[[#This Row],[Date facture]]),1)</f>
        <v>45931</v>
      </c>
      <c r="I420" s="28">
        <f>YEAR(T_Ventes[[#This Row],[Date facture]])</f>
        <v>2025</v>
      </c>
    </row>
    <row r="421" spans="1:9" x14ac:dyDescent="0.3">
      <c r="A421" s="23">
        <v>45954</v>
      </c>
      <c r="B421" s="24" t="s">
        <v>516</v>
      </c>
      <c r="C421" s="24" t="s">
        <v>348</v>
      </c>
      <c r="D421" s="24" t="s">
        <v>64</v>
      </c>
      <c r="E421" s="25">
        <v>5374.9</v>
      </c>
      <c r="F421" s="25">
        <v>4098.3999999999996</v>
      </c>
      <c r="G421" s="26">
        <f>T_Ventes[[#This Row],[CA HT]]-T_Ventes[[#This Row],[Coût achat HT]]</f>
        <v>1276.5</v>
      </c>
      <c r="H421" s="27">
        <f>DATE(YEAR(T_Ventes[[#This Row],[Date facture]]),MONTH(T_Ventes[[#This Row],[Date facture]]),1)</f>
        <v>45931</v>
      </c>
      <c r="I421" s="28">
        <f>YEAR(T_Ventes[[#This Row],[Date facture]])</f>
        <v>2025</v>
      </c>
    </row>
    <row r="422" spans="1:9" x14ac:dyDescent="0.3">
      <c r="A422" s="23">
        <v>45954</v>
      </c>
      <c r="B422" s="24" t="s">
        <v>517</v>
      </c>
      <c r="C422" s="24" t="s">
        <v>73</v>
      </c>
      <c r="D422" s="24" t="s">
        <v>71</v>
      </c>
      <c r="E422" s="25">
        <v>3394.13</v>
      </c>
      <c r="F422" s="25">
        <v>2064.84</v>
      </c>
      <c r="G422" s="26">
        <f>T_Ventes[[#This Row],[CA HT]]-T_Ventes[[#This Row],[Coût achat HT]]</f>
        <v>1329.29</v>
      </c>
      <c r="H422" s="27">
        <f>DATE(YEAR(T_Ventes[[#This Row],[Date facture]]),MONTH(T_Ventes[[#This Row],[Date facture]]),1)</f>
        <v>45931</v>
      </c>
      <c r="I422" s="28">
        <f>YEAR(T_Ventes[[#This Row],[Date facture]])</f>
        <v>2025</v>
      </c>
    </row>
    <row r="423" spans="1:9" x14ac:dyDescent="0.3">
      <c r="A423" s="23">
        <v>45955</v>
      </c>
      <c r="B423" s="24" t="s">
        <v>518</v>
      </c>
      <c r="C423" s="24" t="s">
        <v>66</v>
      </c>
      <c r="D423" s="24" t="s">
        <v>71</v>
      </c>
      <c r="E423" s="25">
        <v>2843.32</v>
      </c>
      <c r="F423" s="25">
        <v>1698.72</v>
      </c>
      <c r="G423" s="26">
        <f>T_Ventes[[#This Row],[CA HT]]-T_Ventes[[#This Row],[Coût achat HT]]</f>
        <v>1144.6000000000001</v>
      </c>
      <c r="H423" s="27">
        <f>DATE(YEAR(T_Ventes[[#This Row],[Date facture]]),MONTH(T_Ventes[[#This Row],[Date facture]]),1)</f>
        <v>45931</v>
      </c>
      <c r="I423" s="28">
        <f>YEAR(T_Ventes[[#This Row],[Date facture]])</f>
        <v>2025</v>
      </c>
    </row>
    <row r="424" spans="1:9" x14ac:dyDescent="0.3">
      <c r="A424" s="23">
        <v>45955</v>
      </c>
      <c r="B424" s="24" t="s">
        <v>519</v>
      </c>
      <c r="C424" s="24" t="s">
        <v>108</v>
      </c>
      <c r="D424" s="24" t="s">
        <v>59</v>
      </c>
      <c r="E424" s="25">
        <v>7628.19</v>
      </c>
      <c r="F424" s="25">
        <v>2681.56</v>
      </c>
      <c r="G424" s="26">
        <f>T_Ventes[[#This Row],[CA HT]]-T_Ventes[[#This Row],[Coût achat HT]]</f>
        <v>4946.6299999999992</v>
      </c>
      <c r="H424" s="27">
        <f>DATE(YEAR(T_Ventes[[#This Row],[Date facture]]),MONTH(T_Ventes[[#This Row],[Date facture]]),1)</f>
        <v>45931</v>
      </c>
      <c r="I424" s="28">
        <f>YEAR(T_Ventes[[#This Row],[Date facture]])</f>
        <v>2025</v>
      </c>
    </row>
    <row r="425" spans="1:9" x14ac:dyDescent="0.3">
      <c r="A425" s="23">
        <v>45956</v>
      </c>
      <c r="B425" s="24" t="s">
        <v>520</v>
      </c>
      <c r="C425" s="24" t="s">
        <v>139</v>
      </c>
      <c r="D425" s="24" t="s">
        <v>64</v>
      </c>
      <c r="E425" s="25">
        <v>4260.91</v>
      </c>
      <c r="F425" s="25">
        <v>3274.43</v>
      </c>
      <c r="G425" s="26">
        <f>T_Ventes[[#This Row],[CA HT]]-T_Ventes[[#This Row],[Coût achat HT]]</f>
        <v>986.48</v>
      </c>
      <c r="H425" s="27">
        <f>DATE(YEAR(T_Ventes[[#This Row],[Date facture]]),MONTH(T_Ventes[[#This Row],[Date facture]]),1)</f>
        <v>45931</v>
      </c>
      <c r="I425" s="28">
        <f>YEAR(T_Ventes[[#This Row],[Date facture]])</f>
        <v>2025</v>
      </c>
    </row>
    <row r="426" spans="1:9" x14ac:dyDescent="0.3">
      <c r="A426" s="23">
        <v>45957</v>
      </c>
      <c r="B426" s="24" t="s">
        <v>521</v>
      </c>
      <c r="C426" s="24" t="s">
        <v>115</v>
      </c>
      <c r="D426" s="24" t="s">
        <v>64</v>
      </c>
      <c r="E426" s="25">
        <v>1446.19</v>
      </c>
      <c r="F426" s="25">
        <v>1100.3599999999999</v>
      </c>
      <c r="G426" s="26">
        <f>T_Ventes[[#This Row],[CA HT]]-T_Ventes[[#This Row],[Coût achat HT]]</f>
        <v>345.83000000000015</v>
      </c>
      <c r="H426" s="27">
        <f>DATE(YEAR(T_Ventes[[#This Row],[Date facture]]),MONTH(T_Ventes[[#This Row],[Date facture]]),1)</f>
        <v>45931</v>
      </c>
      <c r="I426" s="28">
        <f>YEAR(T_Ventes[[#This Row],[Date facture]])</f>
        <v>2025</v>
      </c>
    </row>
    <row r="427" spans="1:9" x14ac:dyDescent="0.3">
      <c r="A427" s="23">
        <v>45958</v>
      </c>
      <c r="B427" s="24" t="s">
        <v>522</v>
      </c>
      <c r="C427" s="24" t="s">
        <v>80</v>
      </c>
      <c r="D427" s="24" t="s">
        <v>57</v>
      </c>
      <c r="E427" s="25">
        <v>2719.34</v>
      </c>
      <c r="F427" s="25">
        <v>1786.3</v>
      </c>
      <c r="G427" s="26">
        <f>T_Ventes[[#This Row],[CA HT]]-T_Ventes[[#This Row],[Coût achat HT]]</f>
        <v>933.04000000000019</v>
      </c>
      <c r="H427" s="27">
        <f>DATE(YEAR(T_Ventes[[#This Row],[Date facture]]),MONTH(T_Ventes[[#This Row],[Date facture]]),1)</f>
        <v>45931</v>
      </c>
      <c r="I427" s="28">
        <f>YEAR(T_Ventes[[#This Row],[Date facture]])</f>
        <v>2025</v>
      </c>
    </row>
    <row r="428" spans="1:9" x14ac:dyDescent="0.3">
      <c r="A428" s="23">
        <v>45958</v>
      </c>
      <c r="B428" s="24" t="s">
        <v>523</v>
      </c>
      <c r="C428" s="24" t="s">
        <v>105</v>
      </c>
      <c r="D428" s="24" t="s">
        <v>71</v>
      </c>
      <c r="E428" s="25">
        <v>3039.74</v>
      </c>
      <c r="F428" s="25">
        <v>1777.41</v>
      </c>
      <c r="G428" s="26">
        <f>T_Ventes[[#This Row],[CA HT]]-T_Ventes[[#This Row],[Coût achat HT]]</f>
        <v>1262.3299999999997</v>
      </c>
      <c r="H428" s="27">
        <f>DATE(YEAR(T_Ventes[[#This Row],[Date facture]]),MONTH(T_Ventes[[#This Row],[Date facture]]),1)</f>
        <v>45931</v>
      </c>
      <c r="I428" s="28">
        <f>YEAR(T_Ventes[[#This Row],[Date facture]])</f>
        <v>2025</v>
      </c>
    </row>
    <row r="429" spans="1:9" x14ac:dyDescent="0.3">
      <c r="A429" s="23">
        <v>45962</v>
      </c>
      <c r="B429" s="24" t="s">
        <v>524</v>
      </c>
      <c r="C429" s="24" t="s">
        <v>115</v>
      </c>
      <c r="D429" s="24" t="s">
        <v>64</v>
      </c>
      <c r="E429" s="25">
        <v>2115.73</v>
      </c>
      <c r="F429" s="25">
        <v>1613.33</v>
      </c>
      <c r="G429" s="26">
        <f>T_Ventes[[#This Row],[CA HT]]-T_Ventes[[#This Row],[Coût achat HT]]</f>
        <v>502.40000000000009</v>
      </c>
      <c r="H429" s="27">
        <f>DATE(YEAR(T_Ventes[[#This Row],[Date facture]]),MONTH(T_Ventes[[#This Row],[Date facture]]),1)</f>
        <v>45962</v>
      </c>
      <c r="I429" s="28">
        <f>YEAR(T_Ventes[[#This Row],[Date facture]])</f>
        <v>2025</v>
      </c>
    </row>
    <row r="430" spans="1:9" x14ac:dyDescent="0.3">
      <c r="A430" s="23">
        <v>45962</v>
      </c>
      <c r="B430" s="24" t="s">
        <v>525</v>
      </c>
      <c r="C430" s="24" t="s">
        <v>56</v>
      </c>
      <c r="D430" s="24" t="s">
        <v>71</v>
      </c>
      <c r="E430" s="25">
        <v>5098.6099999999997</v>
      </c>
      <c r="F430" s="25">
        <v>2993.81</v>
      </c>
      <c r="G430" s="26">
        <f>T_Ventes[[#This Row],[CA HT]]-T_Ventes[[#This Row],[Coût achat HT]]</f>
        <v>2104.7999999999997</v>
      </c>
      <c r="H430" s="27">
        <f>DATE(YEAR(T_Ventes[[#This Row],[Date facture]]),MONTH(T_Ventes[[#This Row],[Date facture]]),1)</f>
        <v>45962</v>
      </c>
      <c r="I430" s="28">
        <f>YEAR(T_Ventes[[#This Row],[Date facture]])</f>
        <v>2025</v>
      </c>
    </row>
    <row r="431" spans="1:9" x14ac:dyDescent="0.3">
      <c r="A431" s="23">
        <v>45962</v>
      </c>
      <c r="B431" s="24" t="s">
        <v>526</v>
      </c>
      <c r="C431" s="24" t="s">
        <v>56</v>
      </c>
      <c r="D431" s="24" t="s">
        <v>71</v>
      </c>
      <c r="E431" s="25">
        <v>2512.16</v>
      </c>
      <c r="F431" s="25">
        <v>1455.69</v>
      </c>
      <c r="G431" s="26">
        <f>T_Ventes[[#This Row],[CA HT]]-T_Ventes[[#This Row],[Coût achat HT]]</f>
        <v>1056.4699999999998</v>
      </c>
      <c r="H431" s="27">
        <f>DATE(YEAR(T_Ventes[[#This Row],[Date facture]]),MONTH(T_Ventes[[#This Row],[Date facture]]),1)</f>
        <v>45962</v>
      </c>
      <c r="I431" s="28">
        <f>YEAR(T_Ventes[[#This Row],[Date facture]])</f>
        <v>2025</v>
      </c>
    </row>
    <row r="432" spans="1:9" x14ac:dyDescent="0.3">
      <c r="A432" s="23">
        <v>45963</v>
      </c>
      <c r="B432" s="24" t="s">
        <v>527</v>
      </c>
      <c r="C432" s="24" t="s">
        <v>115</v>
      </c>
      <c r="D432" s="24" t="s">
        <v>64</v>
      </c>
      <c r="E432" s="25">
        <v>1502.86</v>
      </c>
      <c r="F432" s="25">
        <v>1159.78</v>
      </c>
      <c r="G432" s="26">
        <f>T_Ventes[[#This Row],[CA HT]]-T_Ventes[[#This Row],[Coût achat HT]]</f>
        <v>343.07999999999993</v>
      </c>
      <c r="H432" s="27">
        <f>DATE(YEAR(T_Ventes[[#This Row],[Date facture]]),MONTH(T_Ventes[[#This Row],[Date facture]]),1)</f>
        <v>45962</v>
      </c>
      <c r="I432" s="28">
        <f>YEAR(T_Ventes[[#This Row],[Date facture]])</f>
        <v>2025</v>
      </c>
    </row>
    <row r="433" spans="1:9" x14ac:dyDescent="0.3">
      <c r="A433" s="23">
        <v>45963</v>
      </c>
      <c r="B433" s="24" t="s">
        <v>528</v>
      </c>
      <c r="C433" s="24" t="s">
        <v>92</v>
      </c>
      <c r="D433" s="24" t="s">
        <v>59</v>
      </c>
      <c r="E433" s="25">
        <v>5101.97</v>
      </c>
      <c r="F433" s="25">
        <v>1864.64</v>
      </c>
      <c r="G433" s="26">
        <f>T_Ventes[[#This Row],[CA HT]]-T_Ventes[[#This Row],[Coût achat HT]]</f>
        <v>3237.33</v>
      </c>
      <c r="H433" s="27">
        <f>DATE(YEAR(T_Ventes[[#This Row],[Date facture]]),MONTH(T_Ventes[[#This Row],[Date facture]]),1)</f>
        <v>45962</v>
      </c>
      <c r="I433" s="28">
        <f>YEAR(T_Ventes[[#This Row],[Date facture]])</f>
        <v>2025</v>
      </c>
    </row>
    <row r="434" spans="1:9" x14ac:dyDescent="0.3">
      <c r="A434" s="23">
        <v>45964</v>
      </c>
      <c r="B434" s="24" t="s">
        <v>529</v>
      </c>
      <c r="C434" s="24" t="s">
        <v>68</v>
      </c>
      <c r="D434" s="24" t="s">
        <v>64</v>
      </c>
      <c r="E434" s="25">
        <v>1348.07</v>
      </c>
      <c r="F434" s="25">
        <v>1035.6400000000001</v>
      </c>
      <c r="G434" s="26">
        <f>T_Ventes[[#This Row],[CA HT]]-T_Ventes[[#This Row],[Coût achat HT]]</f>
        <v>312.42999999999984</v>
      </c>
      <c r="H434" s="27">
        <f>DATE(YEAR(T_Ventes[[#This Row],[Date facture]]),MONTH(T_Ventes[[#This Row],[Date facture]]),1)</f>
        <v>45962</v>
      </c>
      <c r="I434" s="28">
        <f>YEAR(T_Ventes[[#This Row],[Date facture]])</f>
        <v>2025</v>
      </c>
    </row>
    <row r="435" spans="1:9" x14ac:dyDescent="0.3">
      <c r="A435" s="23">
        <v>45964</v>
      </c>
      <c r="B435" s="24" t="s">
        <v>530</v>
      </c>
      <c r="C435" s="24" t="s">
        <v>80</v>
      </c>
      <c r="D435" s="24" t="s">
        <v>64</v>
      </c>
      <c r="E435" s="25">
        <v>5350.42</v>
      </c>
      <c r="F435" s="25">
        <v>4101.3</v>
      </c>
      <c r="G435" s="26">
        <f>T_Ventes[[#This Row],[CA HT]]-T_Ventes[[#This Row],[Coût achat HT]]</f>
        <v>1249.1199999999999</v>
      </c>
      <c r="H435" s="27">
        <f>DATE(YEAR(T_Ventes[[#This Row],[Date facture]]),MONTH(T_Ventes[[#This Row],[Date facture]]),1)</f>
        <v>45962</v>
      </c>
      <c r="I435" s="28">
        <f>YEAR(T_Ventes[[#This Row],[Date facture]])</f>
        <v>2025</v>
      </c>
    </row>
    <row r="436" spans="1:9" x14ac:dyDescent="0.3">
      <c r="A436" s="23">
        <v>45966</v>
      </c>
      <c r="B436" s="24" t="s">
        <v>531</v>
      </c>
      <c r="C436" s="24" t="s">
        <v>410</v>
      </c>
      <c r="D436" s="24" t="s">
        <v>57</v>
      </c>
      <c r="E436" s="25">
        <v>6851.08</v>
      </c>
      <c r="F436" s="25">
        <v>4547.57</v>
      </c>
      <c r="G436" s="26">
        <f>T_Ventes[[#This Row],[CA HT]]-T_Ventes[[#This Row],[Coût achat HT]]</f>
        <v>2303.5100000000002</v>
      </c>
      <c r="H436" s="27">
        <f>DATE(YEAR(T_Ventes[[#This Row],[Date facture]]),MONTH(T_Ventes[[#This Row],[Date facture]]),1)</f>
        <v>45962</v>
      </c>
      <c r="I436" s="28">
        <f>YEAR(T_Ventes[[#This Row],[Date facture]])</f>
        <v>2025</v>
      </c>
    </row>
    <row r="437" spans="1:9" x14ac:dyDescent="0.3">
      <c r="A437" s="23">
        <v>45967</v>
      </c>
      <c r="B437" s="24" t="s">
        <v>532</v>
      </c>
      <c r="C437" s="24" t="s">
        <v>80</v>
      </c>
      <c r="D437" s="24" t="s">
        <v>64</v>
      </c>
      <c r="E437" s="25">
        <v>2059.0100000000002</v>
      </c>
      <c r="F437" s="25">
        <v>1578.88</v>
      </c>
      <c r="G437" s="26">
        <f>T_Ventes[[#This Row],[CA HT]]-T_Ventes[[#This Row],[Coût achat HT]]</f>
        <v>480.13000000000011</v>
      </c>
      <c r="H437" s="27">
        <f>DATE(YEAR(T_Ventes[[#This Row],[Date facture]]),MONTH(T_Ventes[[#This Row],[Date facture]]),1)</f>
        <v>45962</v>
      </c>
      <c r="I437" s="28">
        <f>YEAR(T_Ventes[[#This Row],[Date facture]])</f>
        <v>2025</v>
      </c>
    </row>
    <row r="438" spans="1:9" x14ac:dyDescent="0.3">
      <c r="A438" s="23">
        <v>45968</v>
      </c>
      <c r="B438" s="24" t="s">
        <v>533</v>
      </c>
      <c r="C438" s="24" t="s">
        <v>115</v>
      </c>
      <c r="D438" s="24" t="s">
        <v>64</v>
      </c>
      <c r="E438" s="25">
        <v>5712.58</v>
      </c>
      <c r="F438" s="25">
        <v>4332.32</v>
      </c>
      <c r="G438" s="26">
        <f>T_Ventes[[#This Row],[CA HT]]-T_Ventes[[#This Row],[Coût achat HT]]</f>
        <v>1380.2600000000002</v>
      </c>
      <c r="H438" s="27">
        <f>DATE(YEAR(T_Ventes[[#This Row],[Date facture]]),MONTH(T_Ventes[[#This Row],[Date facture]]),1)</f>
        <v>45962</v>
      </c>
      <c r="I438" s="28">
        <f>YEAR(T_Ventes[[#This Row],[Date facture]])</f>
        <v>2025</v>
      </c>
    </row>
    <row r="439" spans="1:9" x14ac:dyDescent="0.3">
      <c r="A439" s="23">
        <v>45968</v>
      </c>
      <c r="B439" s="24" t="s">
        <v>534</v>
      </c>
      <c r="C439" s="24" t="s">
        <v>56</v>
      </c>
      <c r="D439" s="24" t="s">
        <v>59</v>
      </c>
      <c r="E439" s="25">
        <v>2199.67</v>
      </c>
      <c r="F439" s="25">
        <v>840.37</v>
      </c>
      <c r="G439" s="26">
        <f>T_Ventes[[#This Row],[CA HT]]-T_Ventes[[#This Row],[Coût achat HT]]</f>
        <v>1359.3000000000002</v>
      </c>
      <c r="H439" s="27">
        <f>DATE(YEAR(T_Ventes[[#This Row],[Date facture]]),MONTH(T_Ventes[[#This Row],[Date facture]]),1)</f>
        <v>45962</v>
      </c>
      <c r="I439" s="28">
        <f>YEAR(T_Ventes[[#This Row],[Date facture]])</f>
        <v>2025</v>
      </c>
    </row>
    <row r="440" spans="1:9" x14ac:dyDescent="0.3">
      <c r="A440" s="23">
        <v>45969</v>
      </c>
      <c r="B440" s="24" t="s">
        <v>535</v>
      </c>
      <c r="C440" s="24" t="s">
        <v>76</v>
      </c>
      <c r="D440" s="24" t="s">
        <v>57</v>
      </c>
      <c r="E440" s="25">
        <v>5222.99</v>
      </c>
      <c r="F440" s="25">
        <v>3531.24</v>
      </c>
      <c r="G440" s="26">
        <f>T_Ventes[[#This Row],[CA HT]]-T_Ventes[[#This Row],[Coût achat HT]]</f>
        <v>1691.75</v>
      </c>
      <c r="H440" s="27">
        <f>DATE(YEAR(T_Ventes[[#This Row],[Date facture]]),MONTH(T_Ventes[[#This Row],[Date facture]]),1)</f>
        <v>45962</v>
      </c>
      <c r="I440" s="28">
        <f>YEAR(T_Ventes[[#This Row],[Date facture]])</f>
        <v>2025</v>
      </c>
    </row>
    <row r="441" spans="1:9" x14ac:dyDescent="0.3">
      <c r="A441" s="23">
        <v>45971</v>
      </c>
      <c r="B441" s="24" t="s">
        <v>536</v>
      </c>
      <c r="C441" s="24" t="s">
        <v>103</v>
      </c>
      <c r="D441" s="24" t="s">
        <v>64</v>
      </c>
      <c r="E441" s="25">
        <v>2517.42</v>
      </c>
      <c r="F441" s="25">
        <v>1926.16</v>
      </c>
      <c r="G441" s="26">
        <f>T_Ventes[[#This Row],[CA HT]]-T_Ventes[[#This Row],[Coût achat HT]]</f>
        <v>591.26</v>
      </c>
      <c r="H441" s="27">
        <f>DATE(YEAR(T_Ventes[[#This Row],[Date facture]]),MONTH(T_Ventes[[#This Row],[Date facture]]),1)</f>
        <v>45962</v>
      </c>
      <c r="I441" s="28">
        <f>YEAR(T_Ventes[[#This Row],[Date facture]])</f>
        <v>2025</v>
      </c>
    </row>
    <row r="442" spans="1:9" x14ac:dyDescent="0.3">
      <c r="A442" s="23">
        <v>45971</v>
      </c>
      <c r="B442" s="24" t="s">
        <v>537</v>
      </c>
      <c r="C442" s="24" t="s">
        <v>80</v>
      </c>
      <c r="D442" s="24" t="s">
        <v>57</v>
      </c>
      <c r="E442" s="25">
        <v>3295.99</v>
      </c>
      <c r="F442" s="25">
        <v>2186.61</v>
      </c>
      <c r="G442" s="26">
        <f>T_Ventes[[#This Row],[CA HT]]-T_Ventes[[#This Row],[Coût achat HT]]</f>
        <v>1109.3799999999997</v>
      </c>
      <c r="H442" s="27">
        <f>DATE(YEAR(T_Ventes[[#This Row],[Date facture]]),MONTH(T_Ventes[[#This Row],[Date facture]]),1)</f>
        <v>45962</v>
      </c>
      <c r="I442" s="28">
        <f>YEAR(T_Ventes[[#This Row],[Date facture]])</f>
        <v>2025</v>
      </c>
    </row>
    <row r="443" spans="1:9" x14ac:dyDescent="0.3">
      <c r="A443" s="23">
        <v>45973</v>
      </c>
      <c r="B443" s="24" t="s">
        <v>538</v>
      </c>
      <c r="C443" s="24" t="s">
        <v>56</v>
      </c>
      <c r="D443" s="24" t="s">
        <v>57</v>
      </c>
      <c r="E443" s="25">
        <v>5368.48</v>
      </c>
      <c r="F443" s="25">
        <v>3501.81</v>
      </c>
      <c r="G443" s="26">
        <f>T_Ventes[[#This Row],[CA HT]]-T_Ventes[[#This Row],[Coût achat HT]]</f>
        <v>1866.6699999999996</v>
      </c>
      <c r="H443" s="27">
        <f>DATE(YEAR(T_Ventes[[#This Row],[Date facture]]),MONTH(T_Ventes[[#This Row],[Date facture]]),1)</f>
        <v>45962</v>
      </c>
      <c r="I443" s="28">
        <f>YEAR(T_Ventes[[#This Row],[Date facture]])</f>
        <v>2025</v>
      </c>
    </row>
    <row r="444" spans="1:9" x14ac:dyDescent="0.3">
      <c r="A444" s="23">
        <v>45974</v>
      </c>
      <c r="B444" s="24" t="s">
        <v>539</v>
      </c>
      <c r="C444" s="24" t="s">
        <v>90</v>
      </c>
      <c r="D444" s="24" t="s">
        <v>64</v>
      </c>
      <c r="E444" s="25">
        <v>1347.36</v>
      </c>
      <c r="F444" s="25">
        <v>1029.6500000000001</v>
      </c>
      <c r="G444" s="26">
        <f>T_Ventes[[#This Row],[CA HT]]-T_Ventes[[#This Row],[Coût achat HT]]</f>
        <v>317.70999999999981</v>
      </c>
      <c r="H444" s="27">
        <f>DATE(YEAR(T_Ventes[[#This Row],[Date facture]]),MONTH(T_Ventes[[#This Row],[Date facture]]),1)</f>
        <v>45962</v>
      </c>
      <c r="I444" s="28">
        <f>YEAR(T_Ventes[[#This Row],[Date facture]])</f>
        <v>2025</v>
      </c>
    </row>
    <row r="445" spans="1:9" x14ac:dyDescent="0.3">
      <c r="A445" s="23">
        <v>45974</v>
      </c>
      <c r="B445" s="24" t="s">
        <v>540</v>
      </c>
      <c r="C445" s="24" t="s">
        <v>90</v>
      </c>
      <c r="D445" s="24" t="s">
        <v>57</v>
      </c>
      <c r="E445" s="25">
        <v>5836.43</v>
      </c>
      <c r="F445" s="25">
        <v>3764.06</v>
      </c>
      <c r="G445" s="26">
        <f>T_Ventes[[#This Row],[CA HT]]-T_Ventes[[#This Row],[Coût achat HT]]</f>
        <v>2072.3700000000003</v>
      </c>
      <c r="H445" s="27">
        <f>DATE(YEAR(T_Ventes[[#This Row],[Date facture]]),MONTH(T_Ventes[[#This Row],[Date facture]]),1)</f>
        <v>45962</v>
      </c>
      <c r="I445" s="28">
        <f>YEAR(T_Ventes[[#This Row],[Date facture]])</f>
        <v>2025</v>
      </c>
    </row>
    <row r="446" spans="1:9" x14ac:dyDescent="0.3">
      <c r="A446" s="23">
        <v>45974</v>
      </c>
      <c r="B446" s="24" t="s">
        <v>541</v>
      </c>
      <c r="C446" s="24" t="s">
        <v>115</v>
      </c>
      <c r="D446" s="24" t="s">
        <v>59</v>
      </c>
      <c r="E446" s="25">
        <v>3075.21</v>
      </c>
      <c r="F446" s="25">
        <v>1232.3399999999999</v>
      </c>
      <c r="G446" s="26">
        <f>T_Ventes[[#This Row],[CA HT]]-T_Ventes[[#This Row],[Coût achat HT]]</f>
        <v>1842.8700000000001</v>
      </c>
      <c r="H446" s="27">
        <f>DATE(YEAR(T_Ventes[[#This Row],[Date facture]]),MONTH(T_Ventes[[#This Row],[Date facture]]),1)</f>
        <v>45962</v>
      </c>
      <c r="I446" s="28">
        <f>YEAR(T_Ventes[[#This Row],[Date facture]])</f>
        <v>2025</v>
      </c>
    </row>
    <row r="447" spans="1:9" x14ac:dyDescent="0.3">
      <c r="A447" s="23">
        <v>45975</v>
      </c>
      <c r="B447" s="24" t="s">
        <v>542</v>
      </c>
      <c r="C447" s="24" t="s">
        <v>63</v>
      </c>
      <c r="D447" s="24" t="s">
        <v>57</v>
      </c>
      <c r="E447" s="25">
        <v>7750.59</v>
      </c>
      <c r="F447" s="25">
        <v>5031.21</v>
      </c>
      <c r="G447" s="26">
        <f>T_Ventes[[#This Row],[CA HT]]-T_Ventes[[#This Row],[Coût achat HT]]</f>
        <v>2719.38</v>
      </c>
      <c r="H447" s="27">
        <f>DATE(YEAR(T_Ventes[[#This Row],[Date facture]]),MONTH(T_Ventes[[#This Row],[Date facture]]),1)</f>
        <v>45962</v>
      </c>
      <c r="I447" s="28">
        <f>YEAR(T_Ventes[[#This Row],[Date facture]])</f>
        <v>2025</v>
      </c>
    </row>
    <row r="448" spans="1:9" x14ac:dyDescent="0.3">
      <c r="A448" s="23">
        <v>45976</v>
      </c>
      <c r="B448" s="24" t="s">
        <v>543</v>
      </c>
      <c r="C448" s="24" t="s">
        <v>76</v>
      </c>
      <c r="D448" s="24" t="s">
        <v>64</v>
      </c>
      <c r="E448" s="25">
        <v>6960.35</v>
      </c>
      <c r="F448" s="25">
        <v>5233.9799999999996</v>
      </c>
      <c r="G448" s="26">
        <f>T_Ventes[[#This Row],[CA HT]]-T_Ventes[[#This Row],[Coût achat HT]]</f>
        <v>1726.3700000000008</v>
      </c>
      <c r="H448" s="27">
        <f>DATE(YEAR(T_Ventes[[#This Row],[Date facture]]),MONTH(T_Ventes[[#This Row],[Date facture]]),1)</f>
        <v>45962</v>
      </c>
      <c r="I448" s="28">
        <f>YEAR(T_Ventes[[#This Row],[Date facture]])</f>
        <v>2025</v>
      </c>
    </row>
    <row r="449" spans="1:9" x14ac:dyDescent="0.3">
      <c r="A449" s="23">
        <v>45976</v>
      </c>
      <c r="B449" s="24" t="s">
        <v>544</v>
      </c>
      <c r="C449" s="24" t="s">
        <v>66</v>
      </c>
      <c r="D449" s="24" t="s">
        <v>64</v>
      </c>
      <c r="E449" s="25">
        <v>3155.01</v>
      </c>
      <c r="F449" s="25">
        <v>2432.6799999999998</v>
      </c>
      <c r="G449" s="26">
        <f>T_Ventes[[#This Row],[CA HT]]-T_Ventes[[#This Row],[Coût achat HT]]</f>
        <v>722.33000000000038</v>
      </c>
      <c r="H449" s="27">
        <f>DATE(YEAR(T_Ventes[[#This Row],[Date facture]]),MONTH(T_Ventes[[#This Row],[Date facture]]),1)</f>
        <v>45962</v>
      </c>
      <c r="I449" s="28">
        <f>YEAR(T_Ventes[[#This Row],[Date facture]])</f>
        <v>2025</v>
      </c>
    </row>
    <row r="450" spans="1:9" x14ac:dyDescent="0.3">
      <c r="A450" s="23">
        <v>45976</v>
      </c>
      <c r="B450" s="24" t="s">
        <v>545</v>
      </c>
      <c r="C450" s="24" t="s">
        <v>56</v>
      </c>
      <c r="D450" s="24" t="s">
        <v>64</v>
      </c>
      <c r="E450" s="25">
        <v>4743.0200000000004</v>
      </c>
      <c r="F450" s="25">
        <v>3614.59</v>
      </c>
      <c r="G450" s="26">
        <f>T_Ventes[[#This Row],[CA HT]]-T_Ventes[[#This Row],[Coût achat HT]]</f>
        <v>1128.4300000000003</v>
      </c>
      <c r="H450" s="27">
        <f>DATE(YEAR(T_Ventes[[#This Row],[Date facture]]),MONTH(T_Ventes[[#This Row],[Date facture]]),1)</f>
        <v>45962</v>
      </c>
      <c r="I450" s="28">
        <f>YEAR(T_Ventes[[#This Row],[Date facture]])</f>
        <v>2025</v>
      </c>
    </row>
    <row r="451" spans="1:9" x14ac:dyDescent="0.3">
      <c r="A451" s="23">
        <v>45976</v>
      </c>
      <c r="B451" s="24" t="s">
        <v>546</v>
      </c>
      <c r="C451" s="24" t="s">
        <v>115</v>
      </c>
      <c r="D451" s="24" t="s">
        <v>59</v>
      </c>
      <c r="E451" s="25">
        <v>5104.26</v>
      </c>
      <c r="F451" s="25">
        <v>1802.07</v>
      </c>
      <c r="G451" s="26">
        <f>T_Ventes[[#This Row],[CA HT]]-T_Ventes[[#This Row],[Coût achat HT]]</f>
        <v>3302.1900000000005</v>
      </c>
      <c r="H451" s="27">
        <f>DATE(YEAR(T_Ventes[[#This Row],[Date facture]]),MONTH(T_Ventes[[#This Row],[Date facture]]),1)</f>
        <v>45962</v>
      </c>
      <c r="I451" s="28">
        <f>YEAR(T_Ventes[[#This Row],[Date facture]])</f>
        <v>2025</v>
      </c>
    </row>
    <row r="452" spans="1:9" x14ac:dyDescent="0.3">
      <c r="A452" s="23">
        <v>45977</v>
      </c>
      <c r="B452" s="24" t="s">
        <v>547</v>
      </c>
      <c r="C452" s="24" t="s">
        <v>115</v>
      </c>
      <c r="D452" s="24" t="s">
        <v>64</v>
      </c>
      <c r="E452" s="25">
        <v>2122.5300000000002</v>
      </c>
      <c r="F452" s="25">
        <v>1601.31</v>
      </c>
      <c r="G452" s="26">
        <f>T_Ventes[[#This Row],[CA HT]]-T_Ventes[[#This Row],[Coût achat HT]]</f>
        <v>521.22000000000025</v>
      </c>
      <c r="H452" s="27">
        <f>DATE(YEAR(T_Ventes[[#This Row],[Date facture]]),MONTH(T_Ventes[[#This Row],[Date facture]]),1)</f>
        <v>45962</v>
      </c>
      <c r="I452" s="28">
        <f>YEAR(T_Ventes[[#This Row],[Date facture]])</f>
        <v>2025</v>
      </c>
    </row>
    <row r="453" spans="1:9" x14ac:dyDescent="0.3">
      <c r="A453" s="23">
        <v>45978</v>
      </c>
      <c r="B453" s="24" t="s">
        <v>548</v>
      </c>
      <c r="C453" s="24" t="s">
        <v>66</v>
      </c>
      <c r="D453" s="24" t="s">
        <v>64</v>
      </c>
      <c r="E453" s="25">
        <v>1442.06</v>
      </c>
      <c r="F453" s="25">
        <v>1091.24</v>
      </c>
      <c r="G453" s="26">
        <f>T_Ventes[[#This Row],[CA HT]]-T_Ventes[[#This Row],[Coût achat HT]]</f>
        <v>350.81999999999994</v>
      </c>
      <c r="H453" s="27">
        <f>DATE(YEAR(T_Ventes[[#This Row],[Date facture]]),MONTH(T_Ventes[[#This Row],[Date facture]]),1)</f>
        <v>45962</v>
      </c>
      <c r="I453" s="28">
        <f>YEAR(T_Ventes[[#This Row],[Date facture]])</f>
        <v>2025</v>
      </c>
    </row>
    <row r="454" spans="1:9" x14ac:dyDescent="0.3">
      <c r="A454" s="23">
        <v>45979</v>
      </c>
      <c r="B454" s="24" t="s">
        <v>549</v>
      </c>
      <c r="C454" s="24" t="s">
        <v>56</v>
      </c>
      <c r="D454" s="24" t="s">
        <v>57</v>
      </c>
      <c r="E454" s="25">
        <v>2426.8200000000002</v>
      </c>
      <c r="F454" s="25">
        <v>1596.57</v>
      </c>
      <c r="G454" s="26">
        <f>T_Ventes[[#This Row],[CA HT]]-T_Ventes[[#This Row],[Coût achat HT]]</f>
        <v>830.25000000000023</v>
      </c>
      <c r="H454" s="27">
        <f>DATE(YEAR(T_Ventes[[#This Row],[Date facture]]),MONTH(T_Ventes[[#This Row],[Date facture]]),1)</f>
        <v>45962</v>
      </c>
      <c r="I454" s="28">
        <f>YEAR(T_Ventes[[#This Row],[Date facture]])</f>
        <v>2025</v>
      </c>
    </row>
    <row r="455" spans="1:9" x14ac:dyDescent="0.3">
      <c r="A455" s="23">
        <v>45980</v>
      </c>
      <c r="B455" s="24" t="s">
        <v>550</v>
      </c>
      <c r="C455" s="24" t="s">
        <v>73</v>
      </c>
      <c r="D455" s="24" t="s">
        <v>71</v>
      </c>
      <c r="E455" s="25">
        <v>5684.39</v>
      </c>
      <c r="F455" s="25">
        <v>3301.12</v>
      </c>
      <c r="G455" s="26">
        <f>T_Ventes[[#This Row],[CA HT]]-T_Ventes[[#This Row],[Coût achat HT]]</f>
        <v>2383.2700000000004</v>
      </c>
      <c r="H455" s="27">
        <f>DATE(YEAR(T_Ventes[[#This Row],[Date facture]]),MONTH(T_Ventes[[#This Row],[Date facture]]),1)</f>
        <v>45962</v>
      </c>
      <c r="I455" s="28">
        <f>YEAR(T_Ventes[[#This Row],[Date facture]])</f>
        <v>2025</v>
      </c>
    </row>
    <row r="456" spans="1:9" x14ac:dyDescent="0.3">
      <c r="A456" s="23">
        <v>45981</v>
      </c>
      <c r="B456" s="24" t="s">
        <v>551</v>
      </c>
      <c r="C456" s="24" t="s">
        <v>61</v>
      </c>
      <c r="D456" s="24" t="s">
        <v>57</v>
      </c>
      <c r="E456" s="25">
        <v>3648.44</v>
      </c>
      <c r="F456" s="25">
        <v>2395.5300000000002</v>
      </c>
      <c r="G456" s="26">
        <f>T_Ventes[[#This Row],[CA HT]]-T_Ventes[[#This Row],[Coût achat HT]]</f>
        <v>1252.9099999999999</v>
      </c>
      <c r="H456" s="27">
        <f>DATE(YEAR(T_Ventes[[#This Row],[Date facture]]),MONTH(T_Ventes[[#This Row],[Date facture]]),1)</f>
        <v>45962</v>
      </c>
      <c r="I456" s="28">
        <f>YEAR(T_Ventes[[#This Row],[Date facture]])</f>
        <v>2025</v>
      </c>
    </row>
    <row r="457" spans="1:9" x14ac:dyDescent="0.3">
      <c r="A457" s="23">
        <v>45981</v>
      </c>
      <c r="B457" s="24" t="s">
        <v>552</v>
      </c>
      <c r="C457" s="24" t="s">
        <v>115</v>
      </c>
      <c r="D457" s="24" t="s">
        <v>57</v>
      </c>
      <c r="E457" s="25">
        <v>3164.89</v>
      </c>
      <c r="F457" s="25">
        <v>2054.85</v>
      </c>
      <c r="G457" s="26">
        <f>T_Ventes[[#This Row],[CA HT]]-T_Ventes[[#This Row],[Coût achat HT]]</f>
        <v>1110.04</v>
      </c>
      <c r="H457" s="27">
        <f>DATE(YEAR(T_Ventes[[#This Row],[Date facture]]),MONTH(T_Ventes[[#This Row],[Date facture]]),1)</f>
        <v>45962</v>
      </c>
      <c r="I457" s="28">
        <f>YEAR(T_Ventes[[#This Row],[Date facture]])</f>
        <v>2025</v>
      </c>
    </row>
    <row r="458" spans="1:9" x14ac:dyDescent="0.3">
      <c r="A458" s="23">
        <v>45981</v>
      </c>
      <c r="B458" s="24" t="s">
        <v>553</v>
      </c>
      <c r="C458" s="24" t="s">
        <v>292</v>
      </c>
      <c r="D458" s="24" t="s">
        <v>71</v>
      </c>
      <c r="E458" s="25">
        <v>2447.6799999999998</v>
      </c>
      <c r="F458" s="25">
        <v>1453.4</v>
      </c>
      <c r="G458" s="26">
        <f>T_Ventes[[#This Row],[CA HT]]-T_Ventes[[#This Row],[Coût achat HT]]</f>
        <v>994.27999999999975</v>
      </c>
      <c r="H458" s="27">
        <f>DATE(YEAR(T_Ventes[[#This Row],[Date facture]]),MONTH(T_Ventes[[#This Row],[Date facture]]),1)</f>
        <v>45962</v>
      </c>
      <c r="I458" s="28">
        <f>YEAR(T_Ventes[[#This Row],[Date facture]])</f>
        <v>2025</v>
      </c>
    </row>
    <row r="459" spans="1:9" x14ac:dyDescent="0.3">
      <c r="A459" s="23">
        <v>45982</v>
      </c>
      <c r="B459" s="24" t="s">
        <v>554</v>
      </c>
      <c r="C459" s="24" t="s">
        <v>121</v>
      </c>
      <c r="D459" s="24" t="s">
        <v>71</v>
      </c>
      <c r="E459" s="25">
        <v>4233.3100000000004</v>
      </c>
      <c r="F459" s="25">
        <v>2510.7800000000002</v>
      </c>
      <c r="G459" s="26">
        <f>T_Ventes[[#This Row],[CA HT]]-T_Ventes[[#This Row],[Coût achat HT]]</f>
        <v>1722.5300000000002</v>
      </c>
      <c r="H459" s="27">
        <f>DATE(YEAR(T_Ventes[[#This Row],[Date facture]]),MONTH(T_Ventes[[#This Row],[Date facture]]),1)</f>
        <v>45962</v>
      </c>
      <c r="I459" s="28">
        <f>YEAR(T_Ventes[[#This Row],[Date facture]])</f>
        <v>2025</v>
      </c>
    </row>
    <row r="460" spans="1:9" x14ac:dyDescent="0.3">
      <c r="A460" s="23">
        <v>45983</v>
      </c>
      <c r="B460" s="24" t="s">
        <v>555</v>
      </c>
      <c r="C460" s="24" t="s">
        <v>56</v>
      </c>
      <c r="D460" s="24" t="s">
        <v>64</v>
      </c>
      <c r="E460" s="25">
        <v>2061.9699999999998</v>
      </c>
      <c r="F460" s="25">
        <v>1584.9</v>
      </c>
      <c r="G460" s="26">
        <f>T_Ventes[[#This Row],[CA HT]]-T_Ventes[[#This Row],[Coût achat HT]]</f>
        <v>477.06999999999971</v>
      </c>
      <c r="H460" s="27">
        <f>DATE(YEAR(T_Ventes[[#This Row],[Date facture]]),MONTH(T_Ventes[[#This Row],[Date facture]]),1)</f>
        <v>45962</v>
      </c>
      <c r="I460" s="28">
        <f>YEAR(T_Ventes[[#This Row],[Date facture]])</f>
        <v>2025</v>
      </c>
    </row>
    <row r="461" spans="1:9" x14ac:dyDescent="0.3">
      <c r="A461" s="23">
        <v>45983</v>
      </c>
      <c r="B461" s="24" t="s">
        <v>556</v>
      </c>
      <c r="C461" s="24" t="s">
        <v>121</v>
      </c>
      <c r="D461" s="24" t="s">
        <v>57</v>
      </c>
      <c r="E461" s="25">
        <v>2877.38</v>
      </c>
      <c r="F461" s="25">
        <v>1901.28</v>
      </c>
      <c r="G461" s="26">
        <f>T_Ventes[[#This Row],[CA HT]]-T_Ventes[[#This Row],[Coût achat HT]]</f>
        <v>976.10000000000014</v>
      </c>
      <c r="H461" s="27">
        <f>DATE(YEAR(T_Ventes[[#This Row],[Date facture]]),MONTH(T_Ventes[[#This Row],[Date facture]]),1)</f>
        <v>45962</v>
      </c>
      <c r="I461" s="28">
        <f>YEAR(T_Ventes[[#This Row],[Date facture]])</f>
        <v>2025</v>
      </c>
    </row>
    <row r="462" spans="1:9" x14ac:dyDescent="0.3">
      <c r="A462" s="23">
        <v>45984</v>
      </c>
      <c r="B462" s="24" t="s">
        <v>557</v>
      </c>
      <c r="C462" s="24" t="s">
        <v>73</v>
      </c>
      <c r="D462" s="24" t="s">
        <v>64</v>
      </c>
      <c r="E462" s="25">
        <v>2634.25</v>
      </c>
      <c r="F462" s="25">
        <v>2002.73</v>
      </c>
      <c r="G462" s="26">
        <f>T_Ventes[[#This Row],[CA HT]]-T_Ventes[[#This Row],[Coût achat HT]]</f>
        <v>631.52</v>
      </c>
      <c r="H462" s="27">
        <f>DATE(YEAR(T_Ventes[[#This Row],[Date facture]]),MONTH(T_Ventes[[#This Row],[Date facture]]),1)</f>
        <v>45962</v>
      </c>
      <c r="I462" s="28">
        <f>YEAR(T_Ventes[[#This Row],[Date facture]])</f>
        <v>2025</v>
      </c>
    </row>
    <row r="463" spans="1:9" x14ac:dyDescent="0.3">
      <c r="A463" s="23">
        <v>45984</v>
      </c>
      <c r="B463" s="24" t="s">
        <v>558</v>
      </c>
      <c r="C463" s="24" t="s">
        <v>68</v>
      </c>
      <c r="D463" s="24" t="s">
        <v>71</v>
      </c>
      <c r="E463" s="25">
        <v>7191.2</v>
      </c>
      <c r="F463" s="25">
        <v>4364.1499999999996</v>
      </c>
      <c r="G463" s="26">
        <f>T_Ventes[[#This Row],[CA HT]]-T_Ventes[[#This Row],[Coût achat HT]]</f>
        <v>2827.05</v>
      </c>
      <c r="H463" s="27">
        <f>DATE(YEAR(T_Ventes[[#This Row],[Date facture]]),MONTH(T_Ventes[[#This Row],[Date facture]]),1)</f>
        <v>45962</v>
      </c>
      <c r="I463" s="28">
        <f>YEAR(T_Ventes[[#This Row],[Date facture]])</f>
        <v>2025</v>
      </c>
    </row>
    <row r="464" spans="1:9" x14ac:dyDescent="0.3">
      <c r="A464" s="23">
        <v>45985</v>
      </c>
      <c r="B464" s="24" t="s">
        <v>559</v>
      </c>
      <c r="C464" s="24" t="s">
        <v>56</v>
      </c>
      <c r="D464" s="24" t="s">
        <v>64</v>
      </c>
      <c r="E464" s="25">
        <v>3030</v>
      </c>
      <c r="F464" s="25">
        <v>2286.81</v>
      </c>
      <c r="G464" s="26">
        <f>T_Ventes[[#This Row],[CA HT]]-T_Ventes[[#This Row],[Coût achat HT]]</f>
        <v>743.19</v>
      </c>
      <c r="H464" s="27">
        <f>DATE(YEAR(T_Ventes[[#This Row],[Date facture]]),MONTH(T_Ventes[[#This Row],[Date facture]]),1)</f>
        <v>45962</v>
      </c>
      <c r="I464" s="28">
        <f>YEAR(T_Ventes[[#This Row],[Date facture]])</f>
        <v>2025</v>
      </c>
    </row>
    <row r="465" spans="1:9" x14ac:dyDescent="0.3">
      <c r="A465" s="23">
        <v>45985</v>
      </c>
      <c r="B465" s="24" t="s">
        <v>560</v>
      </c>
      <c r="C465" s="24" t="s">
        <v>56</v>
      </c>
      <c r="D465" s="24" t="s">
        <v>64</v>
      </c>
      <c r="E465" s="25">
        <v>3009.42</v>
      </c>
      <c r="F465" s="25">
        <v>2297.16</v>
      </c>
      <c r="G465" s="26">
        <f>T_Ventes[[#This Row],[CA HT]]-T_Ventes[[#This Row],[Coût achat HT]]</f>
        <v>712.26000000000022</v>
      </c>
      <c r="H465" s="27">
        <f>DATE(YEAR(T_Ventes[[#This Row],[Date facture]]),MONTH(T_Ventes[[#This Row],[Date facture]]),1)</f>
        <v>45962</v>
      </c>
      <c r="I465" s="28">
        <f>YEAR(T_Ventes[[#This Row],[Date facture]])</f>
        <v>2025</v>
      </c>
    </row>
    <row r="466" spans="1:9" x14ac:dyDescent="0.3">
      <c r="A466" s="23">
        <v>45987</v>
      </c>
      <c r="B466" s="24" t="s">
        <v>561</v>
      </c>
      <c r="C466" s="24" t="s">
        <v>78</v>
      </c>
      <c r="D466" s="24" t="s">
        <v>64</v>
      </c>
      <c r="E466" s="25">
        <v>1844.82</v>
      </c>
      <c r="F466" s="25">
        <v>1384.98</v>
      </c>
      <c r="G466" s="26">
        <f>T_Ventes[[#This Row],[CA HT]]-T_Ventes[[#This Row],[Coût achat HT]]</f>
        <v>459.83999999999992</v>
      </c>
      <c r="H466" s="27">
        <f>DATE(YEAR(T_Ventes[[#This Row],[Date facture]]),MONTH(T_Ventes[[#This Row],[Date facture]]),1)</f>
        <v>45962</v>
      </c>
      <c r="I466" s="28">
        <f>YEAR(T_Ventes[[#This Row],[Date facture]])</f>
        <v>2025</v>
      </c>
    </row>
    <row r="467" spans="1:9" x14ac:dyDescent="0.3">
      <c r="A467" s="23">
        <v>45987</v>
      </c>
      <c r="B467" s="24" t="s">
        <v>562</v>
      </c>
      <c r="C467" s="24" t="s">
        <v>90</v>
      </c>
      <c r="D467" s="24" t="s">
        <v>64</v>
      </c>
      <c r="E467" s="25">
        <v>5526.04</v>
      </c>
      <c r="F467" s="25">
        <v>4201.71</v>
      </c>
      <c r="G467" s="26">
        <f>T_Ventes[[#This Row],[CA HT]]-T_Ventes[[#This Row],[Coût achat HT]]</f>
        <v>1324.33</v>
      </c>
      <c r="H467" s="27">
        <f>DATE(YEAR(T_Ventes[[#This Row],[Date facture]]),MONTH(T_Ventes[[#This Row],[Date facture]]),1)</f>
        <v>45962</v>
      </c>
      <c r="I467" s="28">
        <f>YEAR(T_Ventes[[#This Row],[Date facture]])</f>
        <v>2025</v>
      </c>
    </row>
    <row r="468" spans="1:9" x14ac:dyDescent="0.3">
      <c r="A468" s="23">
        <v>45987</v>
      </c>
      <c r="B468" s="24" t="s">
        <v>563</v>
      </c>
      <c r="C468" s="24" t="s">
        <v>173</v>
      </c>
      <c r="D468" s="24" t="s">
        <v>64</v>
      </c>
      <c r="E468" s="25">
        <v>7865.69</v>
      </c>
      <c r="F468" s="25">
        <v>5953.75</v>
      </c>
      <c r="G468" s="26">
        <f>T_Ventes[[#This Row],[CA HT]]-T_Ventes[[#This Row],[Coût achat HT]]</f>
        <v>1911.9399999999996</v>
      </c>
      <c r="H468" s="27">
        <f>DATE(YEAR(T_Ventes[[#This Row],[Date facture]]),MONTH(T_Ventes[[#This Row],[Date facture]]),1)</f>
        <v>45962</v>
      </c>
      <c r="I468" s="28">
        <f>YEAR(T_Ventes[[#This Row],[Date facture]])</f>
        <v>2025</v>
      </c>
    </row>
    <row r="469" spans="1:9" x14ac:dyDescent="0.3">
      <c r="A469" s="23">
        <v>45987</v>
      </c>
      <c r="B469" s="24" t="s">
        <v>564</v>
      </c>
      <c r="C469" s="24" t="s">
        <v>56</v>
      </c>
      <c r="D469" s="24" t="s">
        <v>71</v>
      </c>
      <c r="E469" s="25">
        <v>5151.8900000000003</v>
      </c>
      <c r="F469" s="25">
        <v>2964.37</v>
      </c>
      <c r="G469" s="26">
        <f>T_Ventes[[#This Row],[CA HT]]-T_Ventes[[#This Row],[Coût achat HT]]</f>
        <v>2187.5200000000004</v>
      </c>
      <c r="H469" s="27">
        <f>DATE(YEAR(T_Ventes[[#This Row],[Date facture]]),MONTH(T_Ventes[[#This Row],[Date facture]]),1)</f>
        <v>45962</v>
      </c>
      <c r="I469" s="28">
        <f>YEAR(T_Ventes[[#This Row],[Date facture]])</f>
        <v>2025</v>
      </c>
    </row>
    <row r="470" spans="1:9" x14ac:dyDescent="0.3">
      <c r="A470" s="23">
        <v>45987</v>
      </c>
      <c r="B470" s="24" t="s">
        <v>565</v>
      </c>
      <c r="C470" s="24" t="s">
        <v>56</v>
      </c>
      <c r="D470" s="24" t="s">
        <v>59</v>
      </c>
      <c r="E470" s="25">
        <v>3096.13</v>
      </c>
      <c r="F470" s="25">
        <v>1108.43</v>
      </c>
      <c r="G470" s="26">
        <f>T_Ventes[[#This Row],[CA HT]]-T_Ventes[[#This Row],[Coût achat HT]]</f>
        <v>1987.7</v>
      </c>
      <c r="H470" s="27">
        <f>DATE(YEAR(T_Ventes[[#This Row],[Date facture]]),MONTH(T_Ventes[[#This Row],[Date facture]]),1)</f>
        <v>45962</v>
      </c>
      <c r="I470" s="28">
        <f>YEAR(T_Ventes[[#This Row],[Date facture]])</f>
        <v>2025</v>
      </c>
    </row>
    <row r="471" spans="1:9" x14ac:dyDescent="0.3">
      <c r="A471" s="23">
        <v>45988</v>
      </c>
      <c r="B471" s="24" t="s">
        <v>566</v>
      </c>
      <c r="C471" s="24" t="s">
        <v>80</v>
      </c>
      <c r="D471" s="24" t="s">
        <v>64</v>
      </c>
      <c r="E471" s="25">
        <v>2039.22</v>
      </c>
      <c r="F471" s="25">
        <v>1535.14</v>
      </c>
      <c r="G471" s="26">
        <f>T_Ventes[[#This Row],[CA HT]]-T_Ventes[[#This Row],[Coût achat HT]]</f>
        <v>504.07999999999993</v>
      </c>
      <c r="H471" s="27">
        <f>DATE(YEAR(T_Ventes[[#This Row],[Date facture]]),MONTH(T_Ventes[[#This Row],[Date facture]]),1)</f>
        <v>45962</v>
      </c>
      <c r="I471" s="28">
        <f>YEAR(T_Ventes[[#This Row],[Date facture]])</f>
        <v>2025</v>
      </c>
    </row>
    <row r="472" spans="1:9" x14ac:dyDescent="0.3">
      <c r="A472" s="23">
        <v>45988</v>
      </c>
      <c r="B472" s="24" t="s">
        <v>567</v>
      </c>
      <c r="C472" s="24" t="s">
        <v>348</v>
      </c>
      <c r="D472" s="24" t="s">
        <v>64</v>
      </c>
      <c r="E472" s="25">
        <v>7324.43</v>
      </c>
      <c r="F472" s="25">
        <v>5522.9</v>
      </c>
      <c r="G472" s="26">
        <f>T_Ventes[[#This Row],[CA HT]]-T_Ventes[[#This Row],[Coût achat HT]]</f>
        <v>1801.5300000000007</v>
      </c>
      <c r="H472" s="27">
        <f>DATE(YEAR(T_Ventes[[#This Row],[Date facture]]),MONTH(T_Ventes[[#This Row],[Date facture]]),1)</f>
        <v>45962</v>
      </c>
      <c r="I472" s="28">
        <f>YEAR(T_Ventes[[#This Row],[Date facture]])</f>
        <v>2025</v>
      </c>
    </row>
    <row r="473" spans="1:9" x14ac:dyDescent="0.3">
      <c r="A473" s="23">
        <v>45989</v>
      </c>
      <c r="B473" s="24" t="s">
        <v>568</v>
      </c>
      <c r="C473" s="24" t="s">
        <v>90</v>
      </c>
      <c r="D473" s="24" t="s">
        <v>64</v>
      </c>
      <c r="E473" s="25">
        <v>7885.3</v>
      </c>
      <c r="F473" s="25">
        <v>5933.91</v>
      </c>
      <c r="G473" s="26">
        <f>T_Ventes[[#This Row],[CA HT]]-T_Ventes[[#This Row],[Coût achat HT]]</f>
        <v>1951.3900000000003</v>
      </c>
      <c r="H473" s="27">
        <f>DATE(YEAR(T_Ventes[[#This Row],[Date facture]]),MONTH(T_Ventes[[#This Row],[Date facture]]),1)</f>
        <v>45962</v>
      </c>
      <c r="I473" s="28">
        <f>YEAR(T_Ventes[[#This Row],[Date facture]])</f>
        <v>2025</v>
      </c>
    </row>
    <row r="474" spans="1:9" x14ac:dyDescent="0.3">
      <c r="A474" s="23">
        <v>45989</v>
      </c>
      <c r="B474" s="24" t="s">
        <v>569</v>
      </c>
      <c r="C474" s="24" t="s">
        <v>108</v>
      </c>
      <c r="D474" s="24" t="s">
        <v>71</v>
      </c>
      <c r="E474" s="25">
        <v>4835.24</v>
      </c>
      <c r="F474" s="25">
        <v>2765.11</v>
      </c>
      <c r="G474" s="26">
        <f>T_Ventes[[#This Row],[CA HT]]-T_Ventes[[#This Row],[Coût achat HT]]</f>
        <v>2070.1299999999997</v>
      </c>
      <c r="H474" s="27">
        <f>DATE(YEAR(T_Ventes[[#This Row],[Date facture]]),MONTH(T_Ventes[[#This Row],[Date facture]]),1)</f>
        <v>45962</v>
      </c>
      <c r="I474" s="28">
        <f>YEAR(T_Ventes[[#This Row],[Date facture]])</f>
        <v>2025</v>
      </c>
    </row>
    <row r="475" spans="1:9" x14ac:dyDescent="0.3">
      <c r="A475" s="23">
        <v>45992</v>
      </c>
      <c r="B475" s="24" t="s">
        <v>570</v>
      </c>
      <c r="C475" s="24" t="s">
        <v>56</v>
      </c>
      <c r="D475" s="24" t="s">
        <v>57</v>
      </c>
      <c r="E475" s="25">
        <v>3406.74</v>
      </c>
      <c r="F475" s="25">
        <v>2293.08</v>
      </c>
      <c r="G475" s="26">
        <f>T_Ventes[[#This Row],[CA HT]]-T_Ventes[[#This Row],[Coût achat HT]]</f>
        <v>1113.6599999999999</v>
      </c>
      <c r="H475" s="27">
        <f>DATE(YEAR(T_Ventes[[#This Row],[Date facture]]),MONTH(T_Ventes[[#This Row],[Date facture]]),1)</f>
        <v>45992</v>
      </c>
      <c r="I475" s="28">
        <f>YEAR(T_Ventes[[#This Row],[Date facture]])</f>
        <v>2025</v>
      </c>
    </row>
    <row r="476" spans="1:9" x14ac:dyDescent="0.3">
      <c r="A476" s="23">
        <v>45993</v>
      </c>
      <c r="B476" s="24" t="s">
        <v>571</v>
      </c>
      <c r="C476" s="24" t="s">
        <v>108</v>
      </c>
      <c r="D476" s="24" t="s">
        <v>64</v>
      </c>
      <c r="E476" s="25">
        <v>3985.57</v>
      </c>
      <c r="F476" s="25">
        <v>3060.49</v>
      </c>
      <c r="G476" s="26">
        <f>T_Ventes[[#This Row],[CA HT]]-T_Ventes[[#This Row],[Coût achat HT]]</f>
        <v>925.08000000000038</v>
      </c>
      <c r="H476" s="27">
        <f>DATE(YEAR(T_Ventes[[#This Row],[Date facture]]),MONTH(T_Ventes[[#This Row],[Date facture]]),1)</f>
        <v>45992</v>
      </c>
      <c r="I476" s="28">
        <f>YEAR(T_Ventes[[#This Row],[Date facture]])</f>
        <v>2025</v>
      </c>
    </row>
    <row r="477" spans="1:9" x14ac:dyDescent="0.3">
      <c r="A477" s="23">
        <v>45993</v>
      </c>
      <c r="B477" s="24" t="s">
        <v>572</v>
      </c>
      <c r="C477" s="24" t="s">
        <v>162</v>
      </c>
      <c r="D477" s="24" t="s">
        <v>71</v>
      </c>
      <c r="E477" s="25">
        <v>6456.69</v>
      </c>
      <c r="F477" s="25">
        <v>3848.87</v>
      </c>
      <c r="G477" s="26">
        <f>T_Ventes[[#This Row],[CA HT]]-T_Ventes[[#This Row],[Coût achat HT]]</f>
        <v>2607.8199999999997</v>
      </c>
      <c r="H477" s="27">
        <f>DATE(YEAR(T_Ventes[[#This Row],[Date facture]]),MONTH(T_Ventes[[#This Row],[Date facture]]),1)</f>
        <v>45992</v>
      </c>
      <c r="I477" s="28">
        <f>YEAR(T_Ventes[[#This Row],[Date facture]])</f>
        <v>2025</v>
      </c>
    </row>
    <row r="478" spans="1:9" x14ac:dyDescent="0.3">
      <c r="A478" s="23">
        <v>45993</v>
      </c>
      <c r="B478" s="24" t="s">
        <v>573</v>
      </c>
      <c r="C478" s="24" t="s">
        <v>115</v>
      </c>
      <c r="D478" s="24" t="s">
        <v>71</v>
      </c>
      <c r="E478" s="25">
        <v>3901.18</v>
      </c>
      <c r="F478" s="25">
        <v>2285.1</v>
      </c>
      <c r="G478" s="26">
        <f>T_Ventes[[#This Row],[CA HT]]-T_Ventes[[#This Row],[Coût achat HT]]</f>
        <v>1616.08</v>
      </c>
      <c r="H478" s="27">
        <f>DATE(YEAR(T_Ventes[[#This Row],[Date facture]]),MONTH(T_Ventes[[#This Row],[Date facture]]),1)</f>
        <v>45992</v>
      </c>
      <c r="I478" s="28">
        <f>YEAR(T_Ventes[[#This Row],[Date facture]])</f>
        <v>2025</v>
      </c>
    </row>
    <row r="479" spans="1:9" x14ac:dyDescent="0.3">
      <c r="A479" s="23">
        <v>45994</v>
      </c>
      <c r="B479" s="24" t="s">
        <v>574</v>
      </c>
      <c r="C479" s="24" t="s">
        <v>73</v>
      </c>
      <c r="D479" s="24" t="s">
        <v>64</v>
      </c>
      <c r="E479" s="25">
        <v>6572.65</v>
      </c>
      <c r="F479" s="25">
        <v>5069.75</v>
      </c>
      <c r="G479" s="26">
        <f>T_Ventes[[#This Row],[CA HT]]-T_Ventes[[#This Row],[Coût achat HT]]</f>
        <v>1502.8999999999996</v>
      </c>
      <c r="H479" s="27">
        <f>DATE(YEAR(T_Ventes[[#This Row],[Date facture]]),MONTH(T_Ventes[[#This Row],[Date facture]]),1)</f>
        <v>45992</v>
      </c>
      <c r="I479" s="28">
        <f>YEAR(T_Ventes[[#This Row],[Date facture]])</f>
        <v>2025</v>
      </c>
    </row>
    <row r="480" spans="1:9" x14ac:dyDescent="0.3">
      <c r="A480" s="23">
        <v>45994</v>
      </c>
      <c r="B480" s="24" t="s">
        <v>575</v>
      </c>
      <c r="C480" s="24" t="s">
        <v>115</v>
      </c>
      <c r="D480" s="24" t="s">
        <v>64</v>
      </c>
      <c r="E480" s="25">
        <v>4542.43</v>
      </c>
      <c r="F480" s="25">
        <v>3440.05</v>
      </c>
      <c r="G480" s="26">
        <f>T_Ventes[[#This Row],[CA HT]]-T_Ventes[[#This Row],[Coût achat HT]]</f>
        <v>1102.3800000000001</v>
      </c>
      <c r="H480" s="27">
        <f>DATE(YEAR(T_Ventes[[#This Row],[Date facture]]),MONTH(T_Ventes[[#This Row],[Date facture]]),1)</f>
        <v>45992</v>
      </c>
      <c r="I480" s="28">
        <f>YEAR(T_Ventes[[#This Row],[Date facture]])</f>
        <v>2025</v>
      </c>
    </row>
    <row r="481" spans="1:9" x14ac:dyDescent="0.3">
      <c r="A481" s="23">
        <v>45995</v>
      </c>
      <c r="B481" s="24" t="s">
        <v>576</v>
      </c>
      <c r="C481" s="24" t="s">
        <v>66</v>
      </c>
      <c r="D481" s="24" t="s">
        <v>59</v>
      </c>
      <c r="E481" s="25">
        <v>3938.23</v>
      </c>
      <c r="F481" s="25">
        <v>1538.9</v>
      </c>
      <c r="G481" s="26">
        <f>T_Ventes[[#This Row],[CA HT]]-T_Ventes[[#This Row],[Coût achat HT]]</f>
        <v>2399.33</v>
      </c>
      <c r="H481" s="27">
        <f>DATE(YEAR(T_Ventes[[#This Row],[Date facture]]),MONTH(T_Ventes[[#This Row],[Date facture]]),1)</f>
        <v>45992</v>
      </c>
      <c r="I481" s="28">
        <f>YEAR(T_Ventes[[#This Row],[Date facture]])</f>
        <v>2025</v>
      </c>
    </row>
    <row r="482" spans="1:9" x14ac:dyDescent="0.3">
      <c r="A482" s="23">
        <v>45996</v>
      </c>
      <c r="B482" s="24" t="s">
        <v>577</v>
      </c>
      <c r="C482" s="24" t="s">
        <v>76</v>
      </c>
      <c r="D482" s="24" t="s">
        <v>64</v>
      </c>
      <c r="E482" s="25">
        <v>2068.83</v>
      </c>
      <c r="F482" s="25">
        <v>1557.58</v>
      </c>
      <c r="G482" s="26">
        <f>T_Ventes[[#This Row],[CA HT]]-T_Ventes[[#This Row],[Coût achat HT]]</f>
        <v>511.25</v>
      </c>
      <c r="H482" s="27">
        <f>DATE(YEAR(T_Ventes[[#This Row],[Date facture]]),MONTH(T_Ventes[[#This Row],[Date facture]]),1)</f>
        <v>45992</v>
      </c>
      <c r="I482" s="28">
        <f>YEAR(T_Ventes[[#This Row],[Date facture]])</f>
        <v>2025</v>
      </c>
    </row>
    <row r="483" spans="1:9" x14ac:dyDescent="0.3">
      <c r="A483" s="23">
        <v>45997</v>
      </c>
      <c r="B483" s="24" t="s">
        <v>578</v>
      </c>
      <c r="C483" s="24" t="s">
        <v>80</v>
      </c>
      <c r="D483" s="24" t="s">
        <v>71</v>
      </c>
      <c r="E483" s="25">
        <v>2536.2800000000002</v>
      </c>
      <c r="F483" s="25">
        <v>1483.28</v>
      </c>
      <c r="G483" s="26">
        <f>T_Ventes[[#This Row],[CA HT]]-T_Ventes[[#This Row],[Coût achat HT]]</f>
        <v>1053.0000000000002</v>
      </c>
      <c r="H483" s="27">
        <f>DATE(YEAR(T_Ventes[[#This Row],[Date facture]]),MONTH(T_Ventes[[#This Row],[Date facture]]),1)</f>
        <v>45992</v>
      </c>
      <c r="I483" s="28">
        <f>YEAR(T_Ventes[[#This Row],[Date facture]])</f>
        <v>2025</v>
      </c>
    </row>
    <row r="484" spans="1:9" x14ac:dyDescent="0.3">
      <c r="A484" s="23">
        <v>45998</v>
      </c>
      <c r="B484" s="24" t="s">
        <v>579</v>
      </c>
      <c r="C484" s="24" t="s">
        <v>80</v>
      </c>
      <c r="D484" s="24" t="s">
        <v>64</v>
      </c>
      <c r="E484" s="25">
        <v>3969.33</v>
      </c>
      <c r="F484" s="25">
        <v>3052.2</v>
      </c>
      <c r="G484" s="26">
        <f>T_Ventes[[#This Row],[CA HT]]-T_Ventes[[#This Row],[Coût achat HT]]</f>
        <v>917.13000000000011</v>
      </c>
      <c r="H484" s="27">
        <f>DATE(YEAR(T_Ventes[[#This Row],[Date facture]]),MONTH(T_Ventes[[#This Row],[Date facture]]),1)</f>
        <v>45992</v>
      </c>
      <c r="I484" s="28">
        <f>YEAR(T_Ventes[[#This Row],[Date facture]])</f>
        <v>2025</v>
      </c>
    </row>
    <row r="485" spans="1:9" x14ac:dyDescent="0.3">
      <c r="A485" s="23">
        <v>45998</v>
      </c>
      <c r="B485" s="24" t="s">
        <v>580</v>
      </c>
      <c r="C485" s="24" t="s">
        <v>152</v>
      </c>
      <c r="D485" s="24" t="s">
        <v>64</v>
      </c>
      <c r="E485" s="25">
        <v>3552.78</v>
      </c>
      <c r="F485" s="25">
        <v>2732.62</v>
      </c>
      <c r="G485" s="26">
        <f>T_Ventes[[#This Row],[CA HT]]-T_Ventes[[#This Row],[Coût achat HT]]</f>
        <v>820.16000000000031</v>
      </c>
      <c r="H485" s="27">
        <f>DATE(YEAR(T_Ventes[[#This Row],[Date facture]]),MONTH(T_Ventes[[#This Row],[Date facture]]),1)</f>
        <v>45992</v>
      </c>
      <c r="I485" s="28">
        <f>YEAR(T_Ventes[[#This Row],[Date facture]])</f>
        <v>2025</v>
      </c>
    </row>
    <row r="486" spans="1:9" x14ac:dyDescent="0.3">
      <c r="A486" s="23">
        <v>45998</v>
      </c>
      <c r="B486" s="24" t="s">
        <v>581</v>
      </c>
      <c r="C486" s="24" t="s">
        <v>78</v>
      </c>
      <c r="D486" s="24" t="s">
        <v>57</v>
      </c>
      <c r="E486" s="25">
        <v>3998.43</v>
      </c>
      <c r="F486" s="25">
        <v>2698.24</v>
      </c>
      <c r="G486" s="26">
        <f>T_Ventes[[#This Row],[CA HT]]-T_Ventes[[#This Row],[Coût achat HT]]</f>
        <v>1300.19</v>
      </c>
      <c r="H486" s="27">
        <f>DATE(YEAR(T_Ventes[[#This Row],[Date facture]]),MONTH(T_Ventes[[#This Row],[Date facture]]),1)</f>
        <v>45992</v>
      </c>
      <c r="I486" s="28">
        <f>YEAR(T_Ventes[[#This Row],[Date facture]])</f>
        <v>2025</v>
      </c>
    </row>
    <row r="487" spans="1:9" x14ac:dyDescent="0.3">
      <c r="A487" s="23">
        <v>45999</v>
      </c>
      <c r="B487" s="24" t="s">
        <v>582</v>
      </c>
      <c r="C487" s="24" t="s">
        <v>123</v>
      </c>
      <c r="D487" s="24" t="s">
        <v>71</v>
      </c>
      <c r="E487" s="25">
        <v>5343.21</v>
      </c>
      <c r="F487" s="25">
        <v>3088.97</v>
      </c>
      <c r="G487" s="26">
        <f>T_Ventes[[#This Row],[CA HT]]-T_Ventes[[#This Row],[Coût achat HT]]</f>
        <v>2254.2400000000002</v>
      </c>
      <c r="H487" s="27">
        <f>DATE(YEAR(T_Ventes[[#This Row],[Date facture]]),MONTH(T_Ventes[[#This Row],[Date facture]]),1)</f>
        <v>45992</v>
      </c>
      <c r="I487" s="28">
        <f>YEAR(T_Ventes[[#This Row],[Date facture]])</f>
        <v>2025</v>
      </c>
    </row>
    <row r="488" spans="1:9" x14ac:dyDescent="0.3">
      <c r="A488" s="23">
        <v>46000</v>
      </c>
      <c r="B488" s="24" t="s">
        <v>583</v>
      </c>
      <c r="C488" s="24" t="s">
        <v>173</v>
      </c>
      <c r="D488" s="24" t="s">
        <v>59</v>
      </c>
      <c r="E488" s="25">
        <v>4358.96</v>
      </c>
      <c r="F488" s="25">
        <v>1654.16</v>
      </c>
      <c r="G488" s="26">
        <f>T_Ventes[[#This Row],[CA HT]]-T_Ventes[[#This Row],[Coût achat HT]]</f>
        <v>2704.8</v>
      </c>
      <c r="H488" s="27">
        <f>DATE(YEAR(T_Ventes[[#This Row],[Date facture]]),MONTH(T_Ventes[[#This Row],[Date facture]]),1)</f>
        <v>45992</v>
      </c>
      <c r="I488" s="28">
        <f>YEAR(T_Ventes[[#This Row],[Date facture]])</f>
        <v>2025</v>
      </c>
    </row>
    <row r="489" spans="1:9" x14ac:dyDescent="0.3">
      <c r="A489" s="23">
        <v>46001</v>
      </c>
      <c r="B489" s="24" t="s">
        <v>584</v>
      </c>
      <c r="C489" s="24" t="s">
        <v>56</v>
      </c>
      <c r="D489" s="24" t="s">
        <v>59</v>
      </c>
      <c r="E489" s="25">
        <v>5181.17</v>
      </c>
      <c r="F489" s="25">
        <v>1981.21</v>
      </c>
      <c r="G489" s="26">
        <f>T_Ventes[[#This Row],[CA HT]]-T_Ventes[[#This Row],[Coût achat HT]]</f>
        <v>3199.96</v>
      </c>
      <c r="H489" s="27">
        <f>DATE(YEAR(T_Ventes[[#This Row],[Date facture]]),MONTH(T_Ventes[[#This Row],[Date facture]]),1)</f>
        <v>45992</v>
      </c>
      <c r="I489" s="28">
        <f>YEAR(T_Ventes[[#This Row],[Date facture]])</f>
        <v>2025</v>
      </c>
    </row>
    <row r="490" spans="1:9" x14ac:dyDescent="0.3">
      <c r="A490" s="23">
        <v>46002</v>
      </c>
      <c r="B490" s="24" t="s">
        <v>585</v>
      </c>
      <c r="C490" s="24" t="s">
        <v>56</v>
      </c>
      <c r="D490" s="24" t="s">
        <v>64</v>
      </c>
      <c r="E490" s="25">
        <v>2310.8000000000002</v>
      </c>
      <c r="F490" s="25">
        <v>1736.36</v>
      </c>
      <c r="G490" s="26">
        <f>T_Ventes[[#This Row],[CA HT]]-T_Ventes[[#This Row],[Coût achat HT]]</f>
        <v>574.44000000000028</v>
      </c>
      <c r="H490" s="27">
        <f>DATE(YEAR(T_Ventes[[#This Row],[Date facture]]),MONTH(T_Ventes[[#This Row],[Date facture]]),1)</f>
        <v>45992</v>
      </c>
      <c r="I490" s="28">
        <f>YEAR(T_Ventes[[#This Row],[Date facture]])</f>
        <v>2025</v>
      </c>
    </row>
    <row r="491" spans="1:9" x14ac:dyDescent="0.3">
      <c r="A491" s="23">
        <v>46002</v>
      </c>
      <c r="B491" s="24" t="s">
        <v>586</v>
      </c>
      <c r="C491" s="24" t="s">
        <v>105</v>
      </c>
      <c r="D491" s="24" t="s">
        <v>59</v>
      </c>
      <c r="E491" s="25">
        <v>3508.41</v>
      </c>
      <c r="F491" s="25">
        <v>1227.8399999999999</v>
      </c>
      <c r="G491" s="26">
        <f>T_Ventes[[#This Row],[CA HT]]-T_Ventes[[#This Row],[Coût achat HT]]</f>
        <v>2280.5699999999997</v>
      </c>
      <c r="H491" s="27">
        <f>DATE(YEAR(T_Ventes[[#This Row],[Date facture]]),MONTH(T_Ventes[[#This Row],[Date facture]]),1)</f>
        <v>45992</v>
      </c>
      <c r="I491" s="28">
        <f>YEAR(T_Ventes[[#This Row],[Date facture]])</f>
        <v>2025</v>
      </c>
    </row>
    <row r="492" spans="1:9" x14ac:dyDescent="0.3">
      <c r="A492" s="23">
        <v>46004</v>
      </c>
      <c r="B492" s="24" t="s">
        <v>587</v>
      </c>
      <c r="C492" s="24" t="s">
        <v>152</v>
      </c>
      <c r="D492" s="24" t="s">
        <v>64</v>
      </c>
      <c r="E492" s="25">
        <v>6145.03</v>
      </c>
      <c r="F492" s="25">
        <v>4670.83</v>
      </c>
      <c r="G492" s="26">
        <f>T_Ventes[[#This Row],[CA HT]]-T_Ventes[[#This Row],[Coût achat HT]]</f>
        <v>1474.1999999999998</v>
      </c>
      <c r="H492" s="27">
        <f>DATE(YEAR(T_Ventes[[#This Row],[Date facture]]),MONTH(T_Ventes[[#This Row],[Date facture]]),1)</f>
        <v>45992</v>
      </c>
      <c r="I492" s="28">
        <f>YEAR(T_Ventes[[#This Row],[Date facture]])</f>
        <v>2025</v>
      </c>
    </row>
    <row r="493" spans="1:9" x14ac:dyDescent="0.3">
      <c r="A493" s="23">
        <v>46005</v>
      </c>
      <c r="B493" s="24" t="s">
        <v>588</v>
      </c>
      <c r="C493" s="24" t="s">
        <v>92</v>
      </c>
      <c r="D493" s="24" t="s">
        <v>64</v>
      </c>
      <c r="E493" s="25">
        <v>4942.05</v>
      </c>
      <c r="F493" s="25">
        <v>3754.76</v>
      </c>
      <c r="G493" s="26">
        <f>T_Ventes[[#This Row],[CA HT]]-T_Ventes[[#This Row],[Coût achat HT]]</f>
        <v>1187.29</v>
      </c>
      <c r="H493" s="27">
        <f>DATE(YEAR(T_Ventes[[#This Row],[Date facture]]),MONTH(T_Ventes[[#This Row],[Date facture]]),1)</f>
        <v>45992</v>
      </c>
      <c r="I493" s="28">
        <f>YEAR(T_Ventes[[#This Row],[Date facture]])</f>
        <v>2025</v>
      </c>
    </row>
    <row r="494" spans="1:9" x14ac:dyDescent="0.3">
      <c r="A494" s="23">
        <v>46006</v>
      </c>
      <c r="B494" s="24" t="s">
        <v>589</v>
      </c>
      <c r="C494" s="24" t="s">
        <v>139</v>
      </c>
      <c r="D494" s="24" t="s">
        <v>64</v>
      </c>
      <c r="E494" s="25">
        <v>1810.76</v>
      </c>
      <c r="F494" s="25">
        <v>1388.34</v>
      </c>
      <c r="G494" s="26">
        <f>T_Ventes[[#This Row],[CA HT]]-T_Ventes[[#This Row],[Coût achat HT]]</f>
        <v>422.42000000000007</v>
      </c>
      <c r="H494" s="27">
        <f>DATE(YEAR(T_Ventes[[#This Row],[Date facture]]),MONTH(T_Ventes[[#This Row],[Date facture]]),1)</f>
        <v>45992</v>
      </c>
      <c r="I494" s="28">
        <f>YEAR(T_Ventes[[#This Row],[Date facture]])</f>
        <v>2025</v>
      </c>
    </row>
    <row r="495" spans="1:9" x14ac:dyDescent="0.3">
      <c r="A495" s="23">
        <v>46008</v>
      </c>
      <c r="B495" s="24" t="s">
        <v>590</v>
      </c>
      <c r="C495" s="24" t="s">
        <v>80</v>
      </c>
      <c r="D495" s="24" t="s">
        <v>64</v>
      </c>
      <c r="E495" s="25">
        <v>7313.34</v>
      </c>
      <c r="F495" s="25">
        <v>5628.78</v>
      </c>
      <c r="G495" s="26">
        <f>T_Ventes[[#This Row],[CA HT]]-T_Ventes[[#This Row],[Coût achat HT]]</f>
        <v>1684.5600000000004</v>
      </c>
      <c r="H495" s="27">
        <f>DATE(YEAR(T_Ventes[[#This Row],[Date facture]]),MONTH(T_Ventes[[#This Row],[Date facture]]),1)</f>
        <v>45992</v>
      </c>
      <c r="I495" s="28">
        <f>YEAR(T_Ventes[[#This Row],[Date facture]])</f>
        <v>2025</v>
      </c>
    </row>
    <row r="496" spans="1:9" x14ac:dyDescent="0.3">
      <c r="A496" s="23">
        <v>46008</v>
      </c>
      <c r="B496" s="24" t="s">
        <v>591</v>
      </c>
      <c r="C496" s="24" t="s">
        <v>115</v>
      </c>
      <c r="D496" s="24" t="s">
        <v>57</v>
      </c>
      <c r="E496" s="25">
        <v>3160.65</v>
      </c>
      <c r="F496" s="25">
        <v>2042.51</v>
      </c>
      <c r="G496" s="26">
        <f>T_Ventes[[#This Row],[CA HT]]-T_Ventes[[#This Row],[Coût achat HT]]</f>
        <v>1118.1400000000001</v>
      </c>
      <c r="H496" s="27">
        <f>DATE(YEAR(T_Ventes[[#This Row],[Date facture]]),MONTH(T_Ventes[[#This Row],[Date facture]]),1)</f>
        <v>45992</v>
      </c>
      <c r="I496" s="28">
        <f>YEAR(T_Ventes[[#This Row],[Date facture]])</f>
        <v>2025</v>
      </c>
    </row>
    <row r="497" spans="1:9" x14ac:dyDescent="0.3">
      <c r="A497" s="23">
        <v>46008</v>
      </c>
      <c r="B497" s="24" t="s">
        <v>592</v>
      </c>
      <c r="C497" s="24" t="s">
        <v>68</v>
      </c>
      <c r="D497" s="24" t="s">
        <v>71</v>
      </c>
      <c r="E497" s="25">
        <v>3145.63</v>
      </c>
      <c r="F497" s="25">
        <v>1804.4</v>
      </c>
      <c r="G497" s="26">
        <f>T_Ventes[[#This Row],[CA HT]]-T_Ventes[[#This Row],[Coût achat HT]]</f>
        <v>1341.23</v>
      </c>
      <c r="H497" s="27">
        <f>DATE(YEAR(T_Ventes[[#This Row],[Date facture]]),MONTH(T_Ventes[[#This Row],[Date facture]]),1)</f>
        <v>45992</v>
      </c>
      <c r="I497" s="28">
        <f>YEAR(T_Ventes[[#This Row],[Date facture]])</f>
        <v>2025</v>
      </c>
    </row>
    <row r="498" spans="1:9" x14ac:dyDescent="0.3">
      <c r="A498" s="23">
        <v>46009</v>
      </c>
      <c r="B498" s="24" t="s">
        <v>593</v>
      </c>
      <c r="C498" s="24" t="s">
        <v>56</v>
      </c>
      <c r="D498" s="24" t="s">
        <v>57</v>
      </c>
      <c r="E498" s="25">
        <v>5320.06</v>
      </c>
      <c r="F498" s="25">
        <v>3601.54</v>
      </c>
      <c r="G498" s="26">
        <f>T_Ventes[[#This Row],[CA HT]]-T_Ventes[[#This Row],[Coût achat HT]]</f>
        <v>1718.5200000000004</v>
      </c>
      <c r="H498" s="27">
        <f>DATE(YEAR(T_Ventes[[#This Row],[Date facture]]),MONTH(T_Ventes[[#This Row],[Date facture]]),1)</f>
        <v>45992</v>
      </c>
      <c r="I498" s="28">
        <f>YEAR(T_Ventes[[#This Row],[Date facture]])</f>
        <v>2025</v>
      </c>
    </row>
    <row r="499" spans="1:9" x14ac:dyDescent="0.3">
      <c r="A499" s="23">
        <v>46010</v>
      </c>
      <c r="B499" s="24" t="s">
        <v>594</v>
      </c>
      <c r="C499" s="24" t="s">
        <v>105</v>
      </c>
      <c r="D499" s="24" t="s">
        <v>64</v>
      </c>
      <c r="E499" s="25">
        <v>4187.1400000000003</v>
      </c>
      <c r="F499" s="25">
        <v>3152.32</v>
      </c>
      <c r="G499" s="26">
        <f>T_Ventes[[#This Row],[CA HT]]-T_Ventes[[#This Row],[Coût achat HT]]</f>
        <v>1034.8200000000002</v>
      </c>
      <c r="H499" s="27">
        <f>DATE(YEAR(T_Ventes[[#This Row],[Date facture]]),MONTH(T_Ventes[[#This Row],[Date facture]]),1)</f>
        <v>45992</v>
      </c>
      <c r="I499" s="28">
        <f>YEAR(T_Ventes[[#This Row],[Date facture]])</f>
        <v>2025</v>
      </c>
    </row>
    <row r="500" spans="1:9" x14ac:dyDescent="0.3">
      <c r="A500" s="23">
        <v>46010</v>
      </c>
      <c r="B500" s="24" t="s">
        <v>595</v>
      </c>
      <c r="C500" s="24" t="s">
        <v>56</v>
      </c>
      <c r="D500" s="24" t="s">
        <v>64</v>
      </c>
      <c r="E500" s="25">
        <v>1767.11</v>
      </c>
      <c r="F500" s="25">
        <v>1326.97</v>
      </c>
      <c r="G500" s="26">
        <f>T_Ventes[[#This Row],[CA HT]]-T_Ventes[[#This Row],[Coût achat HT]]</f>
        <v>440.13999999999987</v>
      </c>
      <c r="H500" s="27">
        <f>DATE(YEAR(T_Ventes[[#This Row],[Date facture]]),MONTH(T_Ventes[[#This Row],[Date facture]]),1)</f>
        <v>45992</v>
      </c>
      <c r="I500" s="28">
        <f>YEAR(T_Ventes[[#This Row],[Date facture]])</f>
        <v>2025</v>
      </c>
    </row>
    <row r="501" spans="1:9" x14ac:dyDescent="0.3">
      <c r="A501" s="23">
        <v>46010</v>
      </c>
      <c r="B501" s="24" t="s">
        <v>596</v>
      </c>
      <c r="C501" s="24" t="s">
        <v>115</v>
      </c>
      <c r="D501" s="24" t="s">
        <v>64</v>
      </c>
      <c r="E501" s="25">
        <v>7167.14</v>
      </c>
      <c r="F501" s="25">
        <v>5373.24</v>
      </c>
      <c r="G501" s="26">
        <f>T_Ventes[[#This Row],[CA HT]]-T_Ventes[[#This Row],[Coût achat HT]]</f>
        <v>1793.9000000000005</v>
      </c>
      <c r="H501" s="27">
        <f>DATE(YEAR(T_Ventes[[#This Row],[Date facture]]),MONTH(T_Ventes[[#This Row],[Date facture]]),1)</f>
        <v>45992</v>
      </c>
      <c r="I501" s="28">
        <f>YEAR(T_Ventes[[#This Row],[Date facture]])</f>
        <v>2025</v>
      </c>
    </row>
    <row r="502" spans="1:9" x14ac:dyDescent="0.3">
      <c r="A502" s="23">
        <v>46010</v>
      </c>
      <c r="B502" s="24" t="s">
        <v>597</v>
      </c>
      <c r="C502" s="24" t="s">
        <v>244</v>
      </c>
      <c r="D502" s="24" t="s">
        <v>71</v>
      </c>
      <c r="E502" s="25">
        <v>2883.63</v>
      </c>
      <c r="F502" s="25">
        <v>1755.84</v>
      </c>
      <c r="G502" s="26">
        <f>T_Ventes[[#This Row],[CA HT]]-T_Ventes[[#This Row],[Coût achat HT]]</f>
        <v>1127.7900000000002</v>
      </c>
      <c r="H502" s="27">
        <f>DATE(YEAR(T_Ventes[[#This Row],[Date facture]]),MONTH(T_Ventes[[#This Row],[Date facture]]),1)</f>
        <v>45992</v>
      </c>
      <c r="I502" s="28">
        <f>YEAR(T_Ventes[[#This Row],[Date facture]])</f>
        <v>2025</v>
      </c>
    </row>
    <row r="503" spans="1:9" x14ac:dyDescent="0.3">
      <c r="A503" s="23">
        <v>46011</v>
      </c>
      <c r="B503" s="24" t="s">
        <v>598</v>
      </c>
      <c r="C503" s="24" t="s">
        <v>73</v>
      </c>
      <c r="D503" s="24" t="s">
        <v>64</v>
      </c>
      <c r="E503" s="25">
        <v>3040.96</v>
      </c>
      <c r="F503" s="25">
        <v>2302.6799999999998</v>
      </c>
      <c r="G503" s="26">
        <f>T_Ventes[[#This Row],[CA HT]]-T_Ventes[[#This Row],[Coût achat HT]]</f>
        <v>738.2800000000002</v>
      </c>
      <c r="H503" s="27">
        <f>DATE(YEAR(T_Ventes[[#This Row],[Date facture]]),MONTH(T_Ventes[[#This Row],[Date facture]]),1)</f>
        <v>45992</v>
      </c>
      <c r="I503" s="28">
        <f>YEAR(T_Ventes[[#This Row],[Date facture]])</f>
        <v>2025</v>
      </c>
    </row>
    <row r="504" spans="1:9" x14ac:dyDescent="0.3">
      <c r="A504" s="23">
        <v>46011</v>
      </c>
      <c r="B504" s="24" t="s">
        <v>599</v>
      </c>
      <c r="C504" s="24" t="s">
        <v>66</v>
      </c>
      <c r="D504" s="24" t="s">
        <v>57</v>
      </c>
      <c r="E504" s="25">
        <v>1272.9000000000001</v>
      </c>
      <c r="F504" s="25">
        <v>821.98</v>
      </c>
      <c r="G504" s="26">
        <f>T_Ventes[[#This Row],[CA HT]]-T_Ventes[[#This Row],[Coût achat HT]]</f>
        <v>450.92000000000007</v>
      </c>
      <c r="H504" s="27">
        <f>DATE(YEAR(T_Ventes[[#This Row],[Date facture]]),MONTH(T_Ventes[[#This Row],[Date facture]]),1)</f>
        <v>45992</v>
      </c>
      <c r="I504" s="28">
        <f>YEAR(T_Ventes[[#This Row],[Date facture]])</f>
        <v>2025</v>
      </c>
    </row>
    <row r="505" spans="1:9" x14ac:dyDescent="0.3">
      <c r="A505" s="23">
        <v>46012</v>
      </c>
      <c r="B505" s="24" t="s">
        <v>600</v>
      </c>
      <c r="C505" s="24" t="s">
        <v>68</v>
      </c>
      <c r="D505" s="24" t="s">
        <v>71</v>
      </c>
      <c r="E505" s="25">
        <v>6494.72</v>
      </c>
      <c r="F505" s="25">
        <v>3763.34</v>
      </c>
      <c r="G505" s="26">
        <f>T_Ventes[[#This Row],[CA HT]]-T_Ventes[[#This Row],[Coût achat HT]]</f>
        <v>2731.38</v>
      </c>
      <c r="H505" s="27">
        <f>DATE(YEAR(T_Ventes[[#This Row],[Date facture]]),MONTH(T_Ventes[[#This Row],[Date facture]]),1)</f>
        <v>45992</v>
      </c>
      <c r="I505" s="28">
        <f>YEAR(T_Ventes[[#This Row],[Date facture]])</f>
        <v>2025</v>
      </c>
    </row>
    <row r="506" spans="1:9" x14ac:dyDescent="0.3">
      <c r="A506" s="23">
        <v>46012</v>
      </c>
      <c r="B506" s="24" t="s">
        <v>601</v>
      </c>
      <c r="C506" s="24" t="s">
        <v>128</v>
      </c>
      <c r="D506" s="24" t="s">
        <v>71</v>
      </c>
      <c r="E506" s="25">
        <v>1500.15</v>
      </c>
      <c r="F506" s="25">
        <v>864.37</v>
      </c>
      <c r="G506" s="26">
        <f>T_Ventes[[#This Row],[CA HT]]-T_Ventes[[#This Row],[Coût achat HT]]</f>
        <v>635.78000000000009</v>
      </c>
      <c r="H506" s="27">
        <f>DATE(YEAR(T_Ventes[[#This Row],[Date facture]]),MONTH(T_Ventes[[#This Row],[Date facture]]),1)</f>
        <v>45992</v>
      </c>
      <c r="I506" s="28">
        <f>YEAR(T_Ventes[[#This Row],[Date facture]])</f>
        <v>2025</v>
      </c>
    </row>
    <row r="507" spans="1:9" x14ac:dyDescent="0.3">
      <c r="A507" s="23">
        <v>46012</v>
      </c>
      <c r="B507" s="24" t="s">
        <v>602</v>
      </c>
      <c r="C507" s="24" t="s">
        <v>139</v>
      </c>
      <c r="D507" s="24" t="s">
        <v>71</v>
      </c>
      <c r="E507" s="25">
        <v>1712.05</v>
      </c>
      <c r="F507" s="25">
        <v>1006.59</v>
      </c>
      <c r="G507" s="26">
        <f>T_Ventes[[#This Row],[CA HT]]-T_Ventes[[#This Row],[Coût achat HT]]</f>
        <v>705.45999999999992</v>
      </c>
      <c r="H507" s="27">
        <f>DATE(YEAR(T_Ventes[[#This Row],[Date facture]]),MONTH(T_Ventes[[#This Row],[Date facture]]),1)</f>
        <v>45992</v>
      </c>
      <c r="I507" s="28">
        <f>YEAR(T_Ventes[[#This Row],[Date facture]])</f>
        <v>2025</v>
      </c>
    </row>
    <row r="508" spans="1:9" x14ac:dyDescent="0.3">
      <c r="A508" s="23">
        <v>46013</v>
      </c>
      <c r="B508" s="24" t="s">
        <v>603</v>
      </c>
      <c r="C508" s="24" t="s">
        <v>56</v>
      </c>
      <c r="D508" s="24" t="s">
        <v>64</v>
      </c>
      <c r="E508" s="25">
        <v>5956.79</v>
      </c>
      <c r="F508" s="25">
        <v>4491.54</v>
      </c>
      <c r="G508" s="26">
        <f>T_Ventes[[#This Row],[CA HT]]-T_Ventes[[#This Row],[Coût achat HT]]</f>
        <v>1465.25</v>
      </c>
      <c r="H508" s="27">
        <f>DATE(YEAR(T_Ventes[[#This Row],[Date facture]]),MONTH(T_Ventes[[#This Row],[Date facture]]),1)</f>
        <v>45992</v>
      </c>
      <c r="I508" s="28">
        <f>YEAR(T_Ventes[[#This Row],[Date facture]])</f>
        <v>2025</v>
      </c>
    </row>
    <row r="509" spans="1:9" x14ac:dyDescent="0.3">
      <c r="A509" s="23">
        <v>46014</v>
      </c>
      <c r="B509" s="24" t="s">
        <v>604</v>
      </c>
      <c r="C509" s="24" t="s">
        <v>66</v>
      </c>
      <c r="D509" s="24" t="s">
        <v>64</v>
      </c>
      <c r="E509" s="25">
        <v>3687.95</v>
      </c>
      <c r="F509" s="25">
        <v>2820.83</v>
      </c>
      <c r="G509" s="26">
        <f>T_Ventes[[#This Row],[CA HT]]-T_Ventes[[#This Row],[Coût achat HT]]</f>
        <v>867.11999999999989</v>
      </c>
      <c r="H509" s="27">
        <f>DATE(YEAR(T_Ventes[[#This Row],[Date facture]]),MONTH(T_Ventes[[#This Row],[Date facture]]),1)</f>
        <v>45992</v>
      </c>
      <c r="I509" s="28">
        <f>YEAR(T_Ventes[[#This Row],[Date facture]])</f>
        <v>2025</v>
      </c>
    </row>
    <row r="510" spans="1:9" x14ac:dyDescent="0.3">
      <c r="A510" s="23">
        <v>46014</v>
      </c>
      <c r="B510" s="24" t="s">
        <v>605</v>
      </c>
      <c r="C510" s="24" t="s">
        <v>66</v>
      </c>
      <c r="D510" s="24" t="s">
        <v>64</v>
      </c>
      <c r="E510" s="25">
        <v>3419.81</v>
      </c>
      <c r="F510" s="25">
        <v>2581.0500000000002</v>
      </c>
      <c r="G510" s="26">
        <f>T_Ventes[[#This Row],[CA HT]]-T_Ventes[[#This Row],[Coût achat HT]]</f>
        <v>838.75999999999976</v>
      </c>
      <c r="H510" s="27">
        <f>DATE(YEAR(T_Ventes[[#This Row],[Date facture]]),MONTH(T_Ventes[[#This Row],[Date facture]]),1)</f>
        <v>45992</v>
      </c>
      <c r="I510" s="28">
        <f>YEAR(T_Ventes[[#This Row],[Date facture]])</f>
        <v>2025</v>
      </c>
    </row>
    <row r="511" spans="1:9" x14ac:dyDescent="0.3">
      <c r="A511" s="23">
        <v>46014</v>
      </c>
      <c r="B511" s="24" t="s">
        <v>606</v>
      </c>
      <c r="C511" s="24" t="s">
        <v>152</v>
      </c>
      <c r="D511" s="24" t="s">
        <v>57</v>
      </c>
      <c r="E511" s="25">
        <v>2423.87</v>
      </c>
      <c r="F511" s="25">
        <v>1572.42</v>
      </c>
      <c r="G511" s="26">
        <f>T_Ventes[[#This Row],[CA HT]]-T_Ventes[[#This Row],[Coût achat HT]]</f>
        <v>851.44999999999982</v>
      </c>
      <c r="H511" s="27">
        <f>DATE(YEAR(T_Ventes[[#This Row],[Date facture]]),MONTH(T_Ventes[[#This Row],[Date facture]]),1)</f>
        <v>45992</v>
      </c>
      <c r="I511" s="28">
        <f>YEAR(T_Ventes[[#This Row],[Date facture]])</f>
        <v>2025</v>
      </c>
    </row>
    <row r="512" spans="1:9" x14ac:dyDescent="0.3">
      <c r="A512" s="23">
        <v>46015</v>
      </c>
      <c r="B512" s="24" t="s">
        <v>607</v>
      </c>
      <c r="C512" s="24" t="s">
        <v>173</v>
      </c>
      <c r="D512" s="24" t="s">
        <v>57</v>
      </c>
      <c r="E512" s="25">
        <v>2737.88</v>
      </c>
      <c r="F512" s="25">
        <v>1796.84</v>
      </c>
      <c r="G512" s="26">
        <f>T_Ventes[[#This Row],[CA HT]]-T_Ventes[[#This Row],[Coût achat HT]]</f>
        <v>941.04000000000019</v>
      </c>
      <c r="H512" s="27">
        <f>DATE(YEAR(T_Ventes[[#This Row],[Date facture]]),MONTH(T_Ventes[[#This Row],[Date facture]]),1)</f>
        <v>45992</v>
      </c>
      <c r="I512" s="28">
        <f>YEAR(T_Ventes[[#This Row],[Date facture]])</f>
        <v>2025</v>
      </c>
    </row>
    <row r="513" spans="1:9" x14ac:dyDescent="0.3">
      <c r="A513" s="23">
        <v>46016</v>
      </c>
      <c r="B513" s="24" t="s">
        <v>608</v>
      </c>
      <c r="C513" s="24" t="s">
        <v>84</v>
      </c>
      <c r="D513" s="24" t="s">
        <v>57</v>
      </c>
      <c r="E513" s="25">
        <v>5375.69</v>
      </c>
      <c r="F513" s="25">
        <v>3538.04</v>
      </c>
      <c r="G513" s="26">
        <f>T_Ventes[[#This Row],[CA HT]]-T_Ventes[[#This Row],[Coût achat HT]]</f>
        <v>1837.6499999999996</v>
      </c>
      <c r="H513" s="27">
        <f>DATE(YEAR(T_Ventes[[#This Row],[Date facture]]),MONTH(T_Ventes[[#This Row],[Date facture]]),1)</f>
        <v>45992</v>
      </c>
      <c r="I513" s="28">
        <f>YEAR(T_Ventes[[#This Row],[Date facture]])</f>
        <v>2025</v>
      </c>
    </row>
    <row r="514" spans="1:9" x14ac:dyDescent="0.3">
      <c r="A514" s="23">
        <v>46017</v>
      </c>
      <c r="B514" s="24" t="s">
        <v>609</v>
      </c>
      <c r="C514" s="24" t="s">
        <v>73</v>
      </c>
      <c r="D514" s="24" t="s">
        <v>57</v>
      </c>
      <c r="E514" s="25">
        <v>5996.83</v>
      </c>
      <c r="F514" s="25">
        <v>4051.19</v>
      </c>
      <c r="G514" s="26">
        <f>T_Ventes[[#This Row],[CA HT]]-T_Ventes[[#This Row],[Coût achat HT]]</f>
        <v>1945.6399999999999</v>
      </c>
      <c r="H514" s="27">
        <f>DATE(YEAR(T_Ventes[[#This Row],[Date facture]]),MONTH(T_Ventes[[#This Row],[Date facture]]),1)</f>
        <v>45992</v>
      </c>
      <c r="I514" s="28">
        <f>YEAR(T_Ventes[[#This Row],[Date facture]])</f>
        <v>2025</v>
      </c>
    </row>
    <row r="515" spans="1:9" x14ac:dyDescent="0.3">
      <c r="A515" s="23">
        <v>46018</v>
      </c>
      <c r="B515" s="24" t="s">
        <v>610</v>
      </c>
      <c r="C515" s="24" t="s">
        <v>80</v>
      </c>
      <c r="D515" s="24" t="s">
        <v>57</v>
      </c>
      <c r="E515" s="25">
        <v>3793.77</v>
      </c>
      <c r="F515" s="25">
        <v>2508.5</v>
      </c>
      <c r="G515" s="26">
        <f>T_Ventes[[#This Row],[CA HT]]-T_Ventes[[#This Row],[Coût achat HT]]</f>
        <v>1285.27</v>
      </c>
      <c r="H515" s="27">
        <f>DATE(YEAR(T_Ventes[[#This Row],[Date facture]]),MONTH(T_Ventes[[#This Row],[Date facture]]),1)</f>
        <v>45992</v>
      </c>
      <c r="I515" s="28">
        <f>YEAR(T_Ventes[[#This Row],[Date facture]])</f>
        <v>2025</v>
      </c>
    </row>
    <row r="516" spans="1:9" x14ac:dyDescent="0.3">
      <c r="A516" s="23">
        <v>46018</v>
      </c>
      <c r="B516" s="24" t="s">
        <v>611</v>
      </c>
      <c r="C516" s="24" t="s">
        <v>96</v>
      </c>
      <c r="D516" s="24" t="s">
        <v>57</v>
      </c>
      <c r="E516" s="25">
        <v>4980.1099999999997</v>
      </c>
      <c r="F516" s="25">
        <v>3252.59</v>
      </c>
      <c r="G516" s="26">
        <f>T_Ventes[[#This Row],[CA HT]]-T_Ventes[[#This Row],[Coût achat HT]]</f>
        <v>1727.5199999999995</v>
      </c>
      <c r="H516" s="27">
        <f>DATE(YEAR(T_Ventes[[#This Row],[Date facture]]),MONTH(T_Ventes[[#This Row],[Date facture]]),1)</f>
        <v>45992</v>
      </c>
      <c r="I516" s="28">
        <f>YEAR(T_Ventes[[#This Row],[Date facture]])</f>
        <v>2025</v>
      </c>
    </row>
    <row r="517" spans="1:9" x14ac:dyDescent="0.3">
      <c r="A517" s="23">
        <v>46023</v>
      </c>
      <c r="B517" s="24" t="s">
        <v>612</v>
      </c>
      <c r="C517" s="24" t="s">
        <v>108</v>
      </c>
      <c r="D517" s="24" t="s">
        <v>64</v>
      </c>
      <c r="E517" s="25">
        <v>3009.11</v>
      </c>
      <c r="F517" s="25">
        <v>2289.8000000000002</v>
      </c>
      <c r="G517" s="26">
        <f>T_Ventes[[#This Row],[CA HT]]-T_Ventes[[#This Row],[Coût achat HT]]</f>
        <v>719.31</v>
      </c>
      <c r="H517" s="27">
        <f>DATE(YEAR(T_Ventes[[#This Row],[Date facture]]),MONTH(T_Ventes[[#This Row],[Date facture]]),1)</f>
        <v>46023</v>
      </c>
      <c r="I517" s="28">
        <f>YEAR(T_Ventes[[#This Row],[Date facture]])</f>
        <v>2026</v>
      </c>
    </row>
    <row r="518" spans="1:9" x14ac:dyDescent="0.3">
      <c r="A518" s="23">
        <v>46023</v>
      </c>
      <c r="B518" s="24" t="s">
        <v>613</v>
      </c>
      <c r="C518" s="24" t="s">
        <v>80</v>
      </c>
      <c r="D518" s="24" t="s">
        <v>57</v>
      </c>
      <c r="E518" s="25">
        <v>6875.29</v>
      </c>
      <c r="F518" s="25">
        <v>4459.26</v>
      </c>
      <c r="G518" s="26">
        <f>T_Ventes[[#This Row],[CA HT]]-T_Ventes[[#This Row],[Coût achat HT]]</f>
        <v>2416.0299999999997</v>
      </c>
      <c r="H518" s="27">
        <f>DATE(YEAR(T_Ventes[[#This Row],[Date facture]]),MONTH(T_Ventes[[#This Row],[Date facture]]),1)</f>
        <v>46023</v>
      </c>
      <c r="I518" s="28">
        <f>YEAR(T_Ventes[[#This Row],[Date facture]])</f>
        <v>2026</v>
      </c>
    </row>
    <row r="519" spans="1:9" x14ac:dyDescent="0.3">
      <c r="A519" s="23">
        <v>46025</v>
      </c>
      <c r="B519" s="24" t="s">
        <v>614</v>
      </c>
      <c r="C519" s="24" t="s">
        <v>76</v>
      </c>
      <c r="D519" s="24" t="s">
        <v>64</v>
      </c>
      <c r="E519" s="25">
        <v>5743.65</v>
      </c>
      <c r="F519" s="25">
        <v>4302.91</v>
      </c>
      <c r="G519" s="26">
        <f>T_Ventes[[#This Row],[CA HT]]-T_Ventes[[#This Row],[Coût achat HT]]</f>
        <v>1440.7399999999998</v>
      </c>
      <c r="H519" s="27">
        <f>DATE(YEAR(T_Ventes[[#This Row],[Date facture]]),MONTH(T_Ventes[[#This Row],[Date facture]]),1)</f>
        <v>46023</v>
      </c>
      <c r="I519" s="28">
        <f>YEAR(T_Ventes[[#This Row],[Date facture]])</f>
        <v>2026</v>
      </c>
    </row>
    <row r="520" spans="1:9" x14ac:dyDescent="0.3">
      <c r="A520" s="23">
        <v>46025</v>
      </c>
      <c r="B520" s="24" t="s">
        <v>615</v>
      </c>
      <c r="C520" s="24" t="s">
        <v>121</v>
      </c>
      <c r="D520" s="24" t="s">
        <v>64</v>
      </c>
      <c r="E520" s="25">
        <v>1924.76</v>
      </c>
      <c r="F520" s="25">
        <v>1475.67</v>
      </c>
      <c r="G520" s="26">
        <f>T_Ventes[[#This Row],[CA HT]]-T_Ventes[[#This Row],[Coût achat HT]]</f>
        <v>449.08999999999992</v>
      </c>
      <c r="H520" s="27">
        <f>DATE(YEAR(T_Ventes[[#This Row],[Date facture]]),MONTH(T_Ventes[[#This Row],[Date facture]]),1)</f>
        <v>46023</v>
      </c>
      <c r="I520" s="28">
        <f>YEAR(T_Ventes[[#This Row],[Date facture]])</f>
        <v>2026</v>
      </c>
    </row>
    <row r="521" spans="1:9" x14ac:dyDescent="0.3">
      <c r="A521" s="23">
        <v>46025</v>
      </c>
      <c r="B521" s="24" t="s">
        <v>616</v>
      </c>
      <c r="C521" s="24" t="s">
        <v>103</v>
      </c>
      <c r="D521" s="24" t="s">
        <v>64</v>
      </c>
      <c r="E521" s="25">
        <v>6699.06</v>
      </c>
      <c r="F521" s="25">
        <v>5134.6099999999997</v>
      </c>
      <c r="G521" s="26">
        <f>T_Ventes[[#This Row],[CA HT]]-T_Ventes[[#This Row],[Coût achat HT]]</f>
        <v>1564.4500000000007</v>
      </c>
      <c r="H521" s="27">
        <f>DATE(YEAR(T_Ventes[[#This Row],[Date facture]]),MONTH(T_Ventes[[#This Row],[Date facture]]),1)</f>
        <v>46023</v>
      </c>
      <c r="I521" s="28">
        <f>YEAR(T_Ventes[[#This Row],[Date facture]])</f>
        <v>2026</v>
      </c>
    </row>
    <row r="522" spans="1:9" x14ac:dyDescent="0.3">
      <c r="A522" s="23">
        <v>46025</v>
      </c>
      <c r="B522" s="24" t="s">
        <v>617</v>
      </c>
      <c r="C522" s="24" t="s">
        <v>105</v>
      </c>
      <c r="D522" s="24" t="s">
        <v>59</v>
      </c>
      <c r="E522" s="25">
        <v>6073.88</v>
      </c>
      <c r="F522" s="25">
        <v>2329.5500000000002</v>
      </c>
      <c r="G522" s="26">
        <f>T_Ventes[[#This Row],[CA HT]]-T_Ventes[[#This Row],[Coût achat HT]]</f>
        <v>3744.33</v>
      </c>
      <c r="H522" s="27">
        <f>DATE(YEAR(T_Ventes[[#This Row],[Date facture]]),MONTH(T_Ventes[[#This Row],[Date facture]]),1)</f>
        <v>46023</v>
      </c>
      <c r="I522" s="28">
        <f>YEAR(T_Ventes[[#This Row],[Date facture]])</f>
        <v>2026</v>
      </c>
    </row>
    <row r="523" spans="1:9" x14ac:dyDescent="0.3">
      <c r="A523" s="23">
        <v>46028</v>
      </c>
      <c r="B523" s="24" t="s">
        <v>618</v>
      </c>
      <c r="C523" s="24" t="s">
        <v>87</v>
      </c>
      <c r="D523" s="24" t="s">
        <v>57</v>
      </c>
      <c r="E523" s="25">
        <v>5679.13</v>
      </c>
      <c r="F523" s="25">
        <v>3652.94</v>
      </c>
      <c r="G523" s="26">
        <f>T_Ventes[[#This Row],[CA HT]]-T_Ventes[[#This Row],[Coût achat HT]]</f>
        <v>2026.19</v>
      </c>
      <c r="H523" s="27">
        <f>DATE(YEAR(T_Ventes[[#This Row],[Date facture]]),MONTH(T_Ventes[[#This Row],[Date facture]]),1)</f>
        <v>46023</v>
      </c>
      <c r="I523" s="28">
        <f>YEAR(T_Ventes[[#This Row],[Date facture]])</f>
        <v>2026</v>
      </c>
    </row>
    <row r="524" spans="1:9" x14ac:dyDescent="0.3">
      <c r="A524" s="23">
        <v>46028</v>
      </c>
      <c r="B524" s="24" t="s">
        <v>619</v>
      </c>
      <c r="C524" s="24" t="s">
        <v>162</v>
      </c>
      <c r="D524" s="24" t="s">
        <v>57</v>
      </c>
      <c r="E524" s="25">
        <v>1912.45</v>
      </c>
      <c r="F524" s="25">
        <v>1236.81</v>
      </c>
      <c r="G524" s="26">
        <f>T_Ventes[[#This Row],[CA HT]]-T_Ventes[[#This Row],[Coût achat HT]]</f>
        <v>675.6400000000001</v>
      </c>
      <c r="H524" s="27">
        <f>DATE(YEAR(T_Ventes[[#This Row],[Date facture]]),MONTH(T_Ventes[[#This Row],[Date facture]]),1)</f>
        <v>46023</v>
      </c>
      <c r="I524" s="28">
        <f>YEAR(T_Ventes[[#This Row],[Date facture]])</f>
        <v>2026</v>
      </c>
    </row>
    <row r="525" spans="1:9" x14ac:dyDescent="0.3">
      <c r="A525" s="23">
        <v>46029</v>
      </c>
      <c r="B525" s="24" t="s">
        <v>620</v>
      </c>
      <c r="C525" s="24" t="s">
        <v>56</v>
      </c>
      <c r="D525" s="24" t="s">
        <v>71</v>
      </c>
      <c r="E525" s="25">
        <v>1254.46</v>
      </c>
      <c r="F525" s="25">
        <v>719.94</v>
      </c>
      <c r="G525" s="26">
        <f>T_Ventes[[#This Row],[CA HT]]-T_Ventes[[#This Row],[Coût achat HT]]</f>
        <v>534.52</v>
      </c>
      <c r="H525" s="27">
        <f>DATE(YEAR(T_Ventes[[#This Row],[Date facture]]),MONTH(T_Ventes[[#This Row],[Date facture]]),1)</f>
        <v>46023</v>
      </c>
      <c r="I525" s="28">
        <f>YEAR(T_Ventes[[#This Row],[Date facture]])</f>
        <v>2026</v>
      </c>
    </row>
    <row r="526" spans="1:9" x14ac:dyDescent="0.3">
      <c r="A526" s="23">
        <v>46031</v>
      </c>
      <c r="B526" s="24" t="s">
        <v>621</v>
      </c>
      <c r="C526" s="24" t="s">
        <v>56</v>
      </c>
      <c r="D526" s="24" t="s">
        <v>64</v>
      </c>
      <c r="E526" s="25">
        <v>4107.93</v>
      </c>
      <c r="F526" s="25">
        <v>3128.83</v>
      </c>
      <c r="G526" s="26">
        <f>T_Ventes[[#This Row],[CA HT]]-T_Ventes[[#This Row],[Coût achat HT]]</f>
        <v>979.10000000000036</v>
      </c>
      <c r="H526" s="27">
        <f>DATE(YEAR(T_Ventes[[#This Row],[Date facture]]),MONTH(T_Ventes[[#This Row],[Date facture]]),1)</f>
        <v>46023</v>
      </c>
      <c r="I526" s="28">
        <f>YEAR(T_Ventes[[#This Row],[Date facture]])</f>
        <v>2026</v>
      </c>
    </row>
    <row r="527" spans="1:9" x14ac:dyDescent="0.3">
      <c r="A527" s="23">
        <v>46031</v>
      </c>
      <c r="B527" s="24" t="s">
        <v>622</v>
      </c>
      <c r="C527" s="24" t="s">
        <v>80</v>
      </c>
      <c r="D527" s="24" t="s">
        <v>64</v>
      </c>
      <c r="E527" s="25">
        <v>3413.48</v>
      </c>
      <c r="F527" s="25">
        <v>2587.42</v>
      </c>
      <c r="G527" s="26">
        <f>T_Ventes[[#This Row],[CA HT]]-T_Ventes[[#This Row],[Coût achat HT]]</f>
        <v>826.06</v>
      </c>
      <c r="H527" s="27">
        <f>DATE(YEAR(T_Ventes[[#This Row],[Date facture]]),MONTH(T_Ventes[[#This Row],[Date facture]]),1)</f>
        <v>46023</v>
      </c>
      <c r="I527" s="28">
        <f>YEAR(T_Ventes[[#This Row],[Date facture]])</f>
        <v>2026</v>
      </c>
    </row>
    <row r="528" spans="1:9" x14ac:dyDescent="0.3">
      <c r="A528" s="23">
        <v>46031</v>
      </c>
      <c r="B528" s="24" t="s">
        <v>623</v>
      </c>
      <c r="C528" s="24" t="s">
        <v>105</v>
      </c>
      <c r="D528" s="24" t="s">
        <v>57</v>
      </c>
      <c r="E528" s="25">
        <v>3592.02</v>
      </c>
      <c r="F528" s="25">
        <v>2360.11</v>
      </c>
      <c r="G528" s="26">
        <f>T_Ventes[[#This Row],[CA HT]]-T_Ventes[[#This Row],[Coût achat HT]]</f>
        <v>1231.9099999999999</v>
      </c>
      <c r="H528" s="27">
        <f>DATE(YEAR(T_Ventes[[#This Row],[Date facture]]),MONTH(T_Ventes[[#This Row],[Date facture]]),1)</f>
        <v>46023</v>
      </c>
      <c r="I528" s="28">
        <f>YEAR(T_Ventes[[#This Row],[Date facture]])</f>
        <v>2026</v>
      </c>
    </row>
    <row r="529" spans="1:9" x14ac:dyDescent="0.3">
      <c r="A529" s="23">
        <v>46031</v>
      </c>
      <c r="B529" s="24" t="s">
        <v>624</v>
      </c>
      <c r="C529" s="24" t="s">
        <v>252</v>
      </c>
      <c r="D529" s="24" t="s">
        <v>71</v>
      </c>
      <c r="E529" s="25">
        <v>3393.49</v>
      </c>
      <c r="F529" s="25">
        <v>1949.39</v>
      </c>
      <c r="G529" s="26">
        <f>T_Ventes[[#This Row],[CA HT]]-T_Ventes[[#This Row],[Coût achat HT]]</f>
        <v>1444.0999999999997</v>
      </c>
      <c r="H529" s="27">
        <f>DATE(YEAR(T_Ventes[[#This Row],[Date facture]]),MONTH(T_Ventes[[#This Row],[Date facture]]),1)</f>
        <v>46023</v>
      </c>
      <c r="I529" s="28">
        <f>YEAR(T_Ventes[[#This Row],[Date facture]])</f>
        <v>2026</v>
      </c>
    </row>
    <row r="530" spans="1:9" x14ac:dyDescent="0.3">
      <c r="A530" s="23">
        <v>46032</v>
      </c>
      <c r="B530" s="24" t="s">
        <v>625</v>
      </c>
      <c r="C530" s="24" t="s">
        <v>56</v>
      </c>
      <c r="D530" s="24" t="s">
        <v>64</v>
      </c>
      <c r="E530" s="25">
        <v>4114.43</v>
      </c>
      <c r="F530" s="25">
        <v>3112.3</v>
      </c>
      <c r="G530" s="26">
        <f>T_Ventes[[#This Row],[CA HT]]-T_Ventes[[#This Row],[Coût achat HT]]</f>
        <v>1002.1300000000001</v>
      </c>
      <c r="H530" s="27">
        <f>DATE(YEAR(T_Ventes[[#This Row],[Date facture]]),MONTH(T_Ventes[[#This Row],[Date facture]]),1)</f>
        <v>46023</v>
      </c>
      <c r="I530" s="28">
        <f>YEAR(T_Ventes[[#This Row],[Date facture]])</f>
        <v>2026</v>
      </c>
    </row>
    <row r="531" spans="1:9" x14ac:dyDescent="0.3">
      <c r="A531" s="23">
        <v>46032</v>
      </c>
      <c r="B531" s="24" t="s">
        <v>626</v>
      </c>
      <c r="C531" s="24" t="s">
        <v>208</v>
      </c>
      <c r="D531" s="24" t="s">
        <v>64</v>
      </c>
      <c r="E531" s="25">
        <v>1572.2</v>
      </c>
      <c r="F531" s="25">
        <v>1181.32</v>
      </c>
      <c r="G531" s="26">
        <f>T_Ventes[[#This Row],[CA HT]]-T_Ventes[[#This Row],[Coût achat HT]]</f>
        <v>390.88000000000011</v>
      </c>
      <c r="H531" s="27">
        <f>DATE(YEAR(T_Ventes[[#This Row],[Date facture]]),MONTH(T_Ventes[[#This Row],[Date facture]]),1)</f>
        <v>46023</v>
      </c>
      <c r="I531" s="28">
        <f>YEAR(T_Ventes[[#This Row],[Date facture]])</f>
        <v>2026</v>
      </c>
    </row>
    <row r="532" spans="1:9" x14ac:dyDescent="0.3">
      <c r="A532" s="23">
        <v>46032</v>
      </c>
      <c r="B532" s="24" t="s">
        <v>627</v>
      </c>
      <c r="C532" s="24" t="s">
        <v>96</v>
      </c>
      <c r="D532" s="24" t="s">
        <v>71</v>
      </c>
      <c r="E532" s="25">
        <v>4395.47</v>
      </c>
      <c r="F532" s="25">
        <v>2649.02</v>
      </c>
      <c r="G532" s="26">
        <f>T_Ventes[[#This Row],[CA HT]]-T_Ventes[[#This Row],[Coût achat HT]]</f>
        <v>1746.4500000000003</v>
      </c>
      <c r="H532" s="27">
        <f>DATE(YEAR(T_Ventes[[#This Row],[Date facture]]),MONTH(T_Ventes[[#This Row],[Date facture]]),1)</f>
        <v>46023</v>
      </c>
      <c r="I532" s="28">
        <f>YEAR(T_Ventes[[#This Row],[Date facture]])</f>
        <v>2026</v>
      </c>
    </row>
    <row r="533" spans="1:9" x14ac:dyDescent="0.3">
      <c r="A533" s="23">
        <v>46033</v>
      </c>
      <c r="B533" s="24" t="s">
        <v>628</v>
      </c>
      <c r="C533" s="24" t="s">
        <v>410</v>
      </c>
      <c r="D533" s="24" t="s">
        <v>57</v>
      </c>
      <c r="E533" s="25">
        <v>3899.94</v>
      </c>
      <c r="F533" s="25">
        <v>2637.33</v>
      </c>
      <c r="G533" s="26">
        <f>T_Ventes[[#This Row],[CA HT]]-T_Ventes[[#This Row],[Coût achat HT]]</f>
        <v>1262.6100000000001</v>
      </c>
      <c r="H533" s="27">
        <f>DATE(YEAR(T_Ventes[[#This Row],[Date facture]]),MONTH(T_Ventes[[#This Row],[Date facture]]),1)</f>
        <v>46023</v>
      </c>
      <c r="I533" s="28">
        <f>YEAR(T_Ventes[[#This Row],[Date facture]])</f>
        <v>2026</v>
      </c>
    </row>
    <row r="534" spans="1:9" x14ac:dyDescent="0.3">
      <c r="A534" s="23">
        <v>46033</v>
      </c>
      <c r="B534" s="24" t="s">
        <v>629</v>
      </c>
      <c r="C534" s="24" t="s">
        <v>90</v>
      </c>
      <c r="D534" s="24" t="s">
        <v>59</v>
      </c>
      <c r="E534" s="25">
        <v>5480.7</v>
      </c>
      <c r="F534" s="25">
        <v>2091.08</v>
      </c>
      <c r="G534" s="26">
        <f>T_Ventes[[#This Row],[CA HT]]-T_Ventes[[#This Row],[Coût achat HT]]</f>
        <v>3389.62</v>
      </c>
      <c r="H534" s="27">
        <f>DATE(YEAR(T_Ventes[[#This Row],[Date facture]]),MONTH(T_Ventes[[#This Row],[Date facture]]),1)</f>
        <v>46023</v>
      </c>
      <c r="I534" s="28">
        <f>YEAR(T_Ventes[[#This Row],[Date facture]])</f>
        <v>2026</v>
      </c>
    </row>
    <row r="535" spans="1:9" x14ac:dyDescent="0.3">
      <c r="A535" s="23">
        <v>46034</v>
      </c>
      <c r="B535" s="24" t="s">
        <v>630</v>
      </c>
      <c r="C535" s="24" t="s">
        <v>56</v>
      </c>
      <c r="D535" s="24" t="s">
        <v>64</v>
      </c>
      <c r="E535" s="25">
        <v>3244.52</v>
      </c>
      <c r="F535" s="25">
        <v>2459.17</v>
      </c>
      <c r="G535" s="26">
        <f>T_Ventes[[#This Row],[CA HT]]-T_Ventes[[#This Row],[Coût achat HT]]</f>
        <v>785.34999999999991</v>
      </c>
      <c r="H535" s="27">
        <f>DATE(YEAR(T_Ventes[[#This Row],[Date facture]]),MONTH(T_Ventes[[#This Row],[Date facture]]),1)</f>
        <v>46023</v>
      </c>
      <c r="I535" s="28">
        <f>YEAR(T_Ventes[[#This Row],[Date facture]])</f>
        <v>2026</v>
      </c>
    </row>
    <row r="536" spans="1:9" x14ac:dyDescent="0.3">
      <c r="A536" s="23">
        <v>46035</v>
      </c>
      <c r="B536" s="24" t="s">
        <v>631</v>
      </c>
      <c r="C536" s="24" t="s">
        <v>90</v>
      </c>
      <c r="D536" s="24" t="s">
        <v>57</v>
      </c>
      <c r="E536" s="25">
        <v>2928.88</v>
      </c>
      <c r="F536" s="25">
        <v>1933.69</v>
      </c>
      <c r="G536" s="26">
        <f>T_Ventes[[#This Row],[CA HT]]-T_Ventes[[#This Row],[Coût achat HT]]</f>
        <v>995.19</v>
      </c>
      <c r="H536" s="27">
        <f>DATE(YEAR(T_Ventes[[#This Row],[Date facture]]),MONTH(T_Ventes[[#This Row],[Date facture]]),1)</f>
        <v>46023</v>
      </c>
      <c r="I536" s="28">
        <f>YEAR(T_Ventes[[#This Row],[Date facture]])</f>
        <v>2026</v>
      </c>
    </row>
    <row r="537" spans="1:9" x14ac:dyDescent="0.3">
      <c r="A537" s="23">
        <v>46035</v>
      </c>
      <c r="B537" s="24" t="s">
        <v>632</v>
      </c>
      <c r="C537" s="24" t="s">
        <v>252</v>
      </c>
      <c r="D537" s="24" t="s">
        <v>57</v>
      </c>
      <c r="E537" s="25">
        <v>3031.08</v>
      </c>
      <c r="F537" s="25">
        <v>2039.67</v>
      </c>
      <c r="G537" s="26">
        <f>T_Ventes[[#This Row],[CA HT]]-T_Ventes[[#This Row],[Coût achat HT]]</f>
        <v>991.40999999999985</v>
      </c>
      <c r="H537" s="27">
        <f>DATE(YEAR(T_Ventes[[#This Row],[Date facture]]),MONTH(T_Ventes[[#This Row],[Date facture]]),1)</f>
        <v>46023</v>
      </c>
      <c r="I537" s="28">
        <f>YEAR(T_Ventes[[#This Row],[Date facture]])</f>
        <v>2026</v>
      </c>
    </row>
    <row r="538" spans="1:9" x14ac:dyDescent="0.3">
      <c r="A538" s="23">
        <v>46036</v>
      </c>
      <c r="B538" s="24" t="s">
        <v>633</v>
      </c>
      <c r="C538" s="24" t="s">
        <v>94</v>
      </c>
      <c r="D538" s="24" t="s">
        <v>64</v>
      </c>
      <c r="E538" s="25">
        <v>4815.79</v>
      </c>
      <c r="F538" s="25">
        <v>3705.69</v>
      </c>
      <c r="G538" s="26">
        <f>T_Ventes[[#This Row],[CA HT]]-T_Ventes[[#This Row],[Coût achat HT]]</f>
        <v>1110.0999999999999</v>
      </c>
      <c r="H538" s="27">
        <f>DATE(YEAR(T_Ventes[[#This Row],[Date facture]]),MONTH(T_Ventes[[#This Row],[Date facture]]),1)</f>
        <v>46023</v>
      </c>
      <c r="I538" s="28">
        <f>YEAR(T_Ventes[[#This Row],[Date facture]])</f>
        <v>2026</v>
      </c>
    </row>
    <row r="539" spans="1:9" x14ac:dyDescent="0.3">
      <c r="A539" s="23">
        <v>46037</v>
      </c>
      <c r="B539" s="24" t="s">
        <v>634</v>
      </c>
      <c r="C539" s="24" t="s">
        <v>66</v>
      </c>
      <c r="D539" s="24" t="s">
        <v>64</v>
      </c>
      <c r="E539" s="25">
        <v>4178.79</v>
      </c>
      <c r="F539" s="25">
        <v>3158.47</v>
      </c>
      <c r="G539" s="26">
        <f>T_Ventes[[#This Row],[CA HT]]-T_Ventes[[#This Row],[Coût achat HT]]</f>
        <v>1020.3200000000002</v>
      </c>
      <c r="H539" s="27">
        <f>DATE(YEAR(T_Ventes[[#This Row],[Date facture]]),MONTH(T_Ventes[[#This Row],[Date facture]]),1)</f>
        <v>46023</v>
      </c>
      <c r="I539" s="28">
        <f>YEAR(T_Ventes[[#This Row],[Date facture]])</f>
        <v>2026</v>
      </c>
    </row>
    <row r="540" spans="1:9" x14ac:dyDescent="0.3">
      <c r="A540" s="23">
        <v>46037</v>
      </c>
      <c r="B540" s="24" t="s">
        <v>635</v>
      </c>
      <c r="C540" s="24" t="s">
        <v>61</v>
      </c>
      <c r="D540" s="24" t="s">
        <v>57</v>
      </c>
      <c r="E540" s="25">
        <v>4252.47</v>
      </c>
      <c r="F540" s="25">
        <v>2762.7</v>
      </c>
      <c r="G540" s="26">
        <f>T_Ventes[[#This Row],[CA HT]]-T_Ventes[[#This Row],[Coût achat HT]]</f>
        <v>1489.7700000000004</v>
      </c>
      <c r="H540" s="27">
        <f>DATE(YEAR(T_Ventes[[#This Row],[Date facture]]),MONTH(T_Ventes[[#This Row],[Date facture]]),1)</f>
        <v>46023</v>
      </c>
      <c r="I540" s="28">
        <f>YEAR(T_Ventes[[#This Row],[Date facture]])</f>
        <v>2026</v>
      </c>
    </row>
    <row r="541" spans="1:9" x14ac:dyDescent="0.3">
      <c r="A541" s="23">
        <v>46037</v>
      </c>
      <c r="B541" s="24" t="s">
        <v>636</v>
      </c>
      <c r="C541" s="24" t="s">
        <v>90</v>
      </c>
      <c r="D541" s="24" t="s">
        <v>57</v>
      </c>
      <c r="E541" s="25">
        <v>7096.12</v>
      </c>
      <c r="F541" s="25">
        <v>4603.6400000000003</v>
      </c>
      <c r="G541" s="26">
        <f>T_Ventes[[#This Row],[CA HT]]-T_Ventes[[#This Row],[Coût achat HT]]</f>
        <v>2492.4799999999996</v>
      </c>
      <c r="H541" s="27">
        <f>DATE(YEAR(T_Ventes[[#This Row],[Date facture]]),MONTH(T_Ventes[[#This Row],[Date facture]]),1)</f>
        <v>46023</v>
      </c>
      <c r="I541" s="28">
        <f>YEAR(T_Ventes[[#This Row],[Date facture]])</f>
        <v>2026</v>
      </c>
    </row>
    <row r="542" spans="1:9" x14ac:dyDescent="0.3">
      <c r="A542" s="23">
        <v>46037</v>
      </c>
      <c r="B542" s="24" t="s">
        <v>637</v>
      </c>
      <c r="C542" s="24" t="s">
        <v>56</v>
      </c>
      <c r="D542" s="24" t="s">
        <v>71</v>
      </c>
      <c r="E542" s="25">
        <v>6909.28</v>
      </c>
      <c r="F542" s="25">
        <v>4089.86</v>
      </c>
      <c r="G542" s="26">
        <f>T_Ventes[[#This Row],[CA HT]]-T_Ventes[[#This Row],[Coût achat HT]]</f>
        <v>2819.4199999999996</v>
      </c>
      <c r="H542" s="27">
        <f>DATE(YEAR(T_Ventes[[#This Row],[Date facture]]),MONTH(T_Ventes[[#This Row],[Date facture]]),1)</f>
        <v>46023</v>
      </c>
      <c r="I542" s="28">
        <f>YEAR(T_Ventes[[#This Row],[Date facture]])</f>
        <v>2026</v>
      </c>
    </row>
    <row r="543" spans="1:9" x14ac:dyDescent="0.3">
      <c r="A543" s="23">
        <v>46038</v>
      </c>
      <c r="B543" s="24" t="s">
        <v>638</v>
      </c>
      <c r="C543" s="24" t="s">
        <v>76</v>
      </c>
      <c r="D543" s="24" t="s">
        <v>59</v>
      </c>
      <c r="E543" s="25">
        <v>1819.6</v>
      </c>
      <c r="F543" s="25">
        <v>637.66999999999996</v>
      </c>
      <c r="G543" s="26">
        <f>T_Ventes[[#This Row],[CA HT]]-T_Ventes[[#This Row],[Coût achat HT]]</f>
        <v>1181.9299999999998</v>
      </c>
      <c r="H543" s="27">
        <f>DATE(YEAR(T_Ventes[[#This Row],[Date facture]]),MONTH(T_Ventes[[#This Row],[Date facture]]),1)</f>
        <v>46023</v>
      </c>
      <c r="I543" s="28">
        <f>YEAR(T_Ventes[[#This Row],[Date facture]])</f>
        <v>2026</v>
      </c>
    </row>
    <row r="544" spans="1:9" x14ac:dyDescent="0.3">
      <c r="A544" s="23">
        <v>46040</v>
      </c>
      <c r="B544" s="24" t="s">
        <v>639</v>
      </c>
      <c r="C544" s="24" t="s">
        <v>73</v>
      </c>
      <c r="D544" s="24" t="s">
        <v>57</v>
      </c>
      <c r="E544" s="25">
        <v>3360.05</v>
      </c>
      <c r="F544" s="25">
        <v>2198.3200000000002</v>
      </c>
      <c r="G544" s="26">
        <f>T_Ventes[[#This Row],[CA HT]]-T_Ventes[[#This Row],[Coût achat HT]]</f>
        <v>1161.73</v>
      </c>
      <c r="H544" s="27">
        <f>DATE(YEAR(T_Ventes[[#This Row],[Date facture]]),MONTH(T_Ventes[[#This Row],[Date facture]]),1)</f>
        <v>46023</v>
      </c>
      <c r="I544" s="28">
        <f>YEAR(T_Ventes[[#This Row],[Date facture]])</f>
        <v>2026</v>
      </c>
    </row>
    <row r="545" spans="1:9" x14ac:dyDescent="0.3">
      <c r="A545" s="23">
        <v>46040</v>
      </c>
      <c r="B545" s="24" t="s">
        <v>640</v>
      </c>
      <c r="C545" s="24" t="s">
        <v>175</v>
      </c>
      <c r="D545" s="24" t="s">
        <v>71</v>
      </c>
      <c r="E545" s="25">
        <v>3626.28</v>
      </c>
      <c r="F545" s="25">
        <v>2139.17</v>
      </c>
      <c r="G545" s="26">
        <f>T_Ventes[[#This Row],[CA HT]]-T_Ventes[[#This Row],[Coût achat HT]]</f>
        <v>1487.1100000000001</v>
      </c>
      <c r="H545" s="27">
        <f>DATE(YEAR(T_Ventes[[#This Row],[Date facture]]),MONTH(T_Ventes[[#This Row],[Date facture]]),1)</f>
        <v>46023</v>
      </c>
      <c r="I545" s="28">
        <f>YEAR(T_Ventes[[#This Row],[Date facture]])</f>
        <v>2026</v>
      </c>
    </row>
    <row r="546" spans="1:9" x14ac:dyDescent="0.3">
      <c r="A546" s="23">
        <v>46043</v>
      </c>
      <c r="B546" s="24" t="s">
        <v>641</v>
      </c>
      <c r="C546" s="24" t="s">
        <v>68</v>
      </c>
      <c r="D546" s="24" t="s">
        <v>64</v>
      </c>
      <c r="E546" s="25">
        <v>3156.1</v>
      </c>
      <c r="F546" s="25">
        <v>2386.67</v>
      </c>
      <c r="G546" s="26">
        <f>T_Ventes[[#This Row],[CA HT]]-T_Ventes[[#This Row],[Coût achat HT]]</f>
        <v>769.42999999999984</v>
      </c>
      <c r="H546" s="27">
        <f>DATE(YEAR(T_Ventes[[#This Row],[Date facture]]),MONTH(T_Ventes[[#This Row],[Date facture]]),1)</f>
        <v>46023</v>
      </c>
      <c r="I546" s="28">
        <f>YEAR(T_Ventes[[#This Row],[Date facture]])</f>
        <v>2026</v>
      </c>
    </row>
    <row r="547" spans="1:9" x14ac:dyDescent="0.3">
      <c r="A547" s="23">
        <v>46043</v>
      </c>
      <c r="B547" s="24" t="s">
        <v>642</v>
      </c>
      <c r="C547" s="24" t="s">
        <v>115</v>
      </c>
      <c r="D547" s="24" t="s">
        <v>64</v>
      </c>
      <c r="E547" s="25">
        <v>3632.33</v>
      </c>
      <c r="F547" s="25">
        <v>2785.93</v>
      </c>
      <c r="G547" s="26">
        <f>T_Ventes[[#This Row],[CA HT]]-T_Ventes[[#This Row],[Coût achat HT]]</f>
        <v>846.40000000000009</v>
      </c>
      <c r="H547" s="27">
        <f>DATE(YEAR(T_Ventes[[#This Row],[Date facture]]),MONTH(T_Ventes[[#This Row],[Date facture]]),1)</f>
        <v>46023</v>
      </c>
      <c r="I547" s="28">
        <f>YEAR(T_Ventes[[#This Row],[Date facture]])</f>
        <v>2026</v>
      </c>
    </row>
    <row r="548" spans="1:9" x14ac:dyDescent="0.3">
      <c r="A548" s="23">
        <v>46043</v>
      </c>
      <c r="B548" s="24" t="s">
        <v>643</v>
      </c>
      <c r="C548" s="24" t="s">
        <v>105</v>
      </c>
      <c r="D548" s="24" t="s">
        <v>64</v>
      </c>
      <c r="E548" s="25">
        <v>5542.6</v>
      </c>
      <c r="F548" s="25">
        <v>4207.37</v>
      </c>
      <c r="G548" s="26">
        <f>T_Ventes[[#This Row],[CA HT]]-T_Ventes[[#This Row],[Coût achat HT]]</f>
        <v>1335.2300000000005</v>
      </c>
      <c r="H548" s="27">
        <f>DATE(YEAR(T_Ventes[[#This Row],[Date facture]]),MONTH(T_Ventes[[#This Row],[Date facture]]),1)</f>
        <v>46023</v>
      </c>
      <c r="I548" s="28">
        <f>YEAR(T_Ventes[[#This Row],[Date facture]])</f>
        <v>2026</v>
      </c>
    </row>
    <row r="549" spans="1:9" x14ac:dyDescent="0.3">
      <c r="A549" s="23">
        <v>46043</v>
      </c>
      <c r="B549" s="24" t="s">
        <v>644</v>
      </c>
      <c r="C549" s="24" t="s">
        <v>80</v>
      </c>
      <c r="D549" s="24" t="s">
        <v>64</v>
      </c>
      <c r="E549" s="25">
        <v>5158.6499999999996</v>
      </c>
      <c r="F549" s="25">
        <v>3861.19</v>
      </c>
      <c r="G549" s="26">
        <f>T_Ventes[[#This Row],[CA HT]]-T_Ventes[[#This Row],[Coût achat HT]]</f>
        <v>1297.4599999999996</v>
      </c>
      <c r="H549" s="27">
        <f>DATE(YEAR(T_Ventes[[#This Row],[Date facture]]),MONTH(T_Ventes[[#This Row],[Date facture]]),1)</f>
        <v>46023</v>
      </c>
      <c r="I549" s="28">
        <f>YEAR(T_Ventes[[#This Row],[Date facture]])</f>
        <v>2026</v>
      </c>
    </row>
    <row r="550" spans="1:9" x14ac:dyDescent="0.3">
      <c r="A550" s="23">
        <v>46043</v>
      </c>
      <c r="B550" s="24" t="s">
        <v>645</v>
      </c>
      <c r="C550" s="24" t="s">
        <v>66</v>
      </c>
      <c r="D550" s="24" t="s">
        <v>71</v>
      </c>
      <c r="E550" s="25">
        <v>4094.48</v>
      </c>
      <c r="F550" s="25">
        <v>2489.8000000000002</v>
      </c>
      <c r="G550" s="26">
        <f>T_Ventes[[#This Row],[CA HT]]-T_Ventes[[#This Row],[Coût achat HT]]</f>
        <v>1604.6799999999998</v>
      </c>
      <c r="H550" s="27">
        <f>DATE(YEAR(T_Ventes[[#This Row],[Date facture]]),MONTH(T_Ventes[[#This Row],[Date facture]]),1)</f>
        <v>46023</v>
      </c>
      <c r="I550" s="28">
        <f>YEAR(T_Ventes[[#This Row],[Date facture]])</f>
        <v>2026</v>
      </c>
    </row>
    <row r="551" spans="1:9" x14ac:dyDescent="0.3">
      <c r="A551" s="23">
        <v>46044</v>
      </c>
      <c r="B551" s="24" t="s">
        <v>646</v>
      </c>
      <c r="C551" s="24" t="s">
        <v>103</v>
      </c>
      <c r="D551" s="24" t="s">
        <v>71</v>
      </c>
      <c r="E551" s="25">
        <v>3232.74</v>
      </c>
      <c r="F551" s="25">
        <v>1875.63</v>
      </c>
      <c r="G551" s="26">
        <f>T_Ventes[[#This Row],[CA HT]]-T_Ventes[[#This Row],[Coût achat HT]]</f>
        <v>1357.1099999999997</v>
      </c>
      <c r="H551" s="27">
        <f>DATE(YEAR(T_Ventes[[#This Row],[Date facture]]),MONTH(T_Ventes[[#This Row],[Date facture]]),1)</f>
        <v>46023</v>
      </c>
      <c r="I551" s="28">
        <f>YEAR(T_Ventes[[#This Row],[Date facture]])</f>
        <v>2026</v>
      </c>
    </row>
    <row r="552" spans="1:9" x14ac:dyDescent="0.3">
      <c r="A552" s="23">
        <v>46046</v>
      </c>
      <c r="B552" s="24" t="s">
        <v>647</v>
      </c>
      <c r="C552" s="24" t="s">
        <v>66</v>
      </c>
      <c r="D552" s="24" t="s">
        <v>64</v>
      </c>
      <c r="E552" s="25">
        <v>3959.9</v>
      </c>
      <c r="F552" s="25">
        <v>2984.84</v>
      </c>
      <c r="G552" s="26">
        <f>T_Ventes[[#This Row],[CA HT]]-T_Ventes[[#This Row],[Coût achat HT]]</f>
        <v>975.06</v>
      </c>
      <c r="H552" s="27">
        <f>DATE(YEAR(T_Ventes[[#This Row],[Date facture]]),MONTH(T_Ventes[[#This Row],[Date facture]]),1)</f>
        <v>46023</v>
      </c>
      <c r="I552" s="28">
        <f>YEAR(T_Ventes[[#This Row],[Date facture]])</f>
        <v>2026</v>
      </c>
    </row>
    <row r="553" spans="1:9" x14ac:dyDescent="0.3">
      <c r="A553" s="23">
        <v>46047</v>
      </c>
      <c r="B553" s="24" t="s">
        <v>648</v>
      </c>
      <c r="C553" s="24" t="s">
        <v>115</v>
      </c>
      <c r="D553" s="24" t="s">
        <v>59</v>
      </c>
      <c r="E553" s="25">
        <v>2568.88</v>
      </c>
      <c r="F553" s="25">
        <v>1001.54</v>
      </c>
      <c r="G553" s="26">
        <f>T_Ventes[[#This Row],[CA HT]]-T_Ventes[[#This Row],[Coût achat HT]]</f>
        <v>1567.3400000000001</v>
      </c>
      <c r="H553" s="27">
        <f>DATE(YEAR(T_Ventes[[#This Row],[Date facture]]),MONTH(T_Ventes[[#This Row],[Date facture]]),1)</f>
        <v>46023</v>
      </c>
      <c r="I553" s="28">
        <f>YEAR(T_Ventes[[#This Row],[Date facture]])</f>
        <v>2026</v>
      </c>
    </row>
    <row r="554" spans="1:9" x14ac:dyDescent="0.3">
      <c r="A554" s="23">
        <v>46048</v>
      </c>
      <c r="B554" s="24" t="s">
        <v>649</v>
      </c>
      <c r="C554" s="24" t="s">
        <v>63</v>
      </c>
      <c r="D554" s="24" t="s">
        <v>64</v>
      </c>
      <c r="E554" s="25">
        <v>2981.51</v>
      </c>
      <c r="F554" s="25">
        <v>2255.6799999999998</v>
      </c>
      <c r="G554" s="26">
        <f>T_Ventes[[#This Row],[CA HT]]-T_Ventes[[#This Row],[Coût achat HT]]</f>
        <v>725.83000000000038</v>
      </c>
      <c r="H554" s="27">
        <f>DATE(YEAR(T_Ventes[[#This Row],[Date facture]]),MONTH(T_Ventes[[#This Row],[Date facture]]),1)</f>
        <v>46023</v>
      </c>
      <c r="I554" s="28">
        <f>YEAR(T_Ventes[[#This Row],[Date facture]])</f>
        <v>2026</v>
      </c>
    </row>
    <row r="555" spans="1:9" x14ac:dyDescent="0.3">
      <c r="A555" s="23">
        <v>46049</v>
      </c>
      <c r="B555" s="24" t="s">
        <v>650</v>
      </c>
      <c r="C555" s="24" t="s">
        <v>66</v>
      </c>
      <c r="D555" s="24" t="s">
        <v>64</v>
      </c>
      <c r="E555" s="25">
        <v>2631.33</v>
      </c>
      <c r="F555" s="25">
        <v>1991.31</v>
      </c>
      <c r="G555" s="26">
        <f>T_Ventes[[#This Row],[CA HT]]-T_Ventes[[#This Row],[Coût achat HT]]</f>
        <v>640.02</v>
      </c>
      <c r="H555" s="27">
        <f>DATE(YEAR(T_Ventes[[#This Row],[Date facture]]),MONTH(T_Ventes[[#This Row],[Date facture]]),1)</f>
        <v>46023</v>
      </c>
      <c r="I555" s="28">
        <f>YEAR(T_Ventes[[#This Row],[Date facture]])</f>
        <v>2026</v>
      </c>
    </row>
    <row r="556" spans="1:9" x14ac:dyDescent="0.3">
      <c r="A556" s="23">
        <v>46049</v>
      </c>
      <c r="B556" s="24" t="s">
        <v>651</v>
      </c>
      <c r="C556" s="24" t="s">
        <v>56</v>
      </c>
      <c r="D556" s="24" t="s">
        <v>59</v>
      </c>
      <c r="E556" s="25">
        <v>3259.98</v>
      </c>
      <c r="F556" s="25">
        <v>1328.81</v>
      </c>
      <c r="G556" s="26">
        <f>T_Ventes[[#This Row],[CA HT]]-T_Ventes[[#This Row],[Coût achat HT]]</f>
        <v>1931.17</v>
      </c>
      <c r="H556" s="27">
        <f>DATE(YEAR(T_Ventes[[#This Row],[Date facture]]),MONTH(T_Ventes[[#This Row],[Date facture]]),1)</f>
        <v>46023</v>
      </c>
      <c r="I556" s="28">
        <f>YEAR(T_Ventes[[#This Row],[Date facture]])</f>
        <v>2026</v>
      </c>
    </row>
    <row r="557" spans="1:9" x14ac:dyDescent="0.3">
      <c r="A557" s="23">
        <v>46050</v>
      </c>
      <c r="B557" s="24" t="s">
        <v>652</v>
      </c>
      <c r="C557" s="24" t="s">
        <v>410</v>
      </c>
      <c r="D557" s="24" t="s">
        <v>64</v>
      </c>
      <c r="E557" s="25">
        <v>2373.52</v>
      </c>
      <c r="F557" s="25">
        <v>1778.17</v>
      </c>
      <c r="G557" s="26">
        <f>T_Ventes[[#This Row],[CA HT]]-T_Ventes[[#This Row],[Coût achat HT]]</f>
        <v>595.34999999999991</v>
      </c>
      <c r="H557" s="27">
        <f>DATE(YEAR(T_Ventes[[#This Row],[Date facture]]),MONTH(T_Ventes[[#This Row],[Date facture]]),1)</f>
        <v>46023</v>
      </c>
      <c r="I557" s="28">
        <f>YEAR(T_Ventes[[#This Row],[Date facture]])</f>
        <v>2026</v>
      </c>
    </row>
    <row r="558" spans="1:9" x14ac:dyDescent="0.3">
      <c r="A558" s="23">
        <v>46050</v>
      </c>
      <c r="B558" s="24" t="s">
        <v>653</v>
      </c>
      <c r="C558" s="24" t="s">
        <v>175</v>
      </c>
      <c r="D558" s="24" t="s">
        <v>71</v>
      </c>
      <c r="E558" s="25">
        <v>6533.58</v>
      </c>
      <c r="F558" s="25">
        <v>3810.73</v>
      </c>
      <c r="G558" s="26">
        <f>T_Ventes[[#This Row],[CA HT]]-T_Ventes[[#This Row],[Coût achat HT]]</f>
        <v>2722.85</v>
      </c>
      <c r="H558" s="27">
        <f>DATE(YEAR(T_Ventes[[#This Row],[Date facture]]),MONTH(T_Ventes[[#This Row],[Date facture]]),1)</f>
        <v>46023</v>
      </c>
      <c r="I558" s="28">
        <f>YEAR(T_Ventes[[#This Row],[Date facture]])</f>
        <v>2026</v>
      </c>
    </row>
    <row r="559" spans="1:9" x14ac:dyDescent="0.3">
      <c r="A559" s="23">
        <v>46054</v>
      </c>
      <c r="B559" s="24" t="s">
        <v>654</v>
      </c>
      <c r="C559" s="24" t="s">
        <v>292</v>
      </c>
      <c r="D559" s="24" t="s">
        <v>71</v>
      </c>
      <c r="E559" s="25">
        <v>5015.24</v>
      </c>
      <c r="F559" s="25">
        <v>2991.79</v>
      </c>
      <c r="G559" s="26">
        <f>T_Ventes[[#This Row],[CA HT]]-T_Ventes[[#This Row],[Coût achat HT]]</f>
        <v>2023.4499999999998</v>
      </c>
      <c r="H559" s="27">
        <f>DATE(YEAR(T_Ventes[[#This Row],[Date facture]]),MONTH(T_Ventes[[#This Row],[Date facture]]),1)</f>
        <v>46054</v>
      </c>
      <c r="I559" s="28">
        <f>YEAR(T_Ventes[[#This Row],[Date facture]])</f>
        <v>2026</v>
      </c>
    </row>
    <row r="560" spans="1:9" x14ac:dyDescent="0.3">
      <c r="A560" s="23">
        <v>46056</v>
      </c>
      <c r="B560" s="24" t="s">
        <v>655</v>
      </c>
      <c r="C560" s="24" t="s">
        <v>56</v>
      </c>
      <c r="D560" s="24" t="s">
        <v>57</v>
      </c>
      <c r="E560" s="25">
        <v>6444.67</v>
      </c>
      <c r="F560" s="25">
        <v>4214.4399999999996</v>
      </c>
      <c r="G560" s="26">
        <f>T_Ventes[[#This Row],[CA HT]]-T_Ventes[[#This Row],[Coût achat HT]]</f>
        <v>2230.2300000000005</v>
      </c>
      <c r="H560" s="27">
        <f>DATE(YEAR(T_Ventes[[#This Row],[Date facture]]),MONTH(T_Ventes[[#This Row],[Date facture]]),1)</f>
        <v>46054</v>
      </c>
      <c r="I560" s="28">
        <f>YEAR(T_Ventes[[#This Row],[Date facture]])</f>
        <v>2026</v>
      </c>
    </row>
    <row r="561" spans="1:9" x14ac:dyDescent="0.3">
      <c r="A561" s="23">
        <v>46056</v>
      </c>
      <c r="B561" s="24" t="s">
        <v>656</v>
      </c>
      <c r="C561" s="24" t="s">
        <v>70</v>
      </c>
      <c r="D561" s="24" t="s">
        <v>57</v>
      </c>
      <c r="E561" s="25">
        <v>5129.92</v>
      </c>
      <c r="F561" s="25">
        <v>3363.03</v>
      </c>
      <c r="G561" s="26">
        <f>T_Ventes[[#This Row],[CA HT]]-T_Ventes[[#This Row],[Coût achat HT]]</f>
        <v>1766.8899999999999</v>
      </c>
      <c r="H561" s="27">
        <f>DATE(YEAR(T_Ventes[[#This Row],[Date facture]]),MONTH(T_Ventes[[#This Row],[Date facture]]),1)</f>
        <v>46054</v>
      </c>
      <c r="I561" s="28">
        <f>YEAR(T_Ventes[[#This Row],[Date facture]])</f>
        <v>2026</v>
      </c>
    </row>
    <row r="562" spans="1:9" x14ac:dyDescent="0.3">
      <c r="A562" s="23">
        <v>46057</v>
      </c>
      <c r="B562" s="24" t="s">
        <v>657</v>
      </c>
      <c r="C562" s="24" t="s">
        <v>115</v>
      </c>
      <c r="D562" s="24" t="s">
        <v>64</v>
      </c>
      <c r="E562" s="25">
        <v>3024.11</v>
      </c>
      <c r="F562" s="25">
        <v>2319.5</v>
      </c>
      <c r="G562" s="26">
        <f>T_Ventes[[#This Row],[CA HT]]-T_Ventes[[#This Row],[Coût achat HT]]</f>
        <v>704.61000000000013</v>
      </c>
      <c r="H562" s="27">
        <f>DATE(YEAR(T_Ventes[[#This Row],[Date facture]]),MONTH(T_Ventes[[#This Row],[Date facture]]),1)</f>
        <v>46054</v>
      </c>
      <c r="I562" s="28">
        <f>YEAR(T_Ventes[[#This Row],[Date facture]])</f>
        <v>2026</v>
      </c>
    </row>
    <row r="563" spans="1:9" x14ac:dyDescent="0.3">
      <c r="A563" s="23">
        <v>46058</v>
      </c>
      <c r="B563" s="24" t="s">
        <v>658</v>
      </c>
      <c r="C563" s="24" t="s">
        <v>56</v>
      </c>
      <c r="D563" s="24" t="s">
        <v>71</v>
      </c>
      <c r="E563" s="25">
        <v>4093.76</v>
      </c>
      <c r="F563" s="25">
        <v>2425.19</v>
      </c>
      <c r="G563" s="26">
        <f>T_Ventes[[#This Row],[CA HT]]-T_Ventes[[#This Row],[Coût achat HT]]</f>
        <v>1668.5700000000002</v>
      </c>
      <c r="H563" s="27">
        <f>DATE(YEAR(T_Ventes[[#This Row],[Date facture]]),MONTH(T_Ventes[[#This Row],[Date facture]]),1)</f>
        <v>46054</v>
      </c>
      <c r="I563" s="28">
        <f>YEAR(T_Ventes[[#This Row],[Date facture]])</f>
        <v>2026</v>
      </c>
    </row>
    <row r="564" spans="1:9" x14ac:dyDescent="0.3">
      <c r="A564" s="23">
        <v>46059</v>
      </c>
      <c r="B564" s="24" t="s">
        <v>659</v>
      </c>
      <c r="C564" s="24" t="s">
        <v>128</v>
      </c>
      <c r="D564" s="24" t="s">
        <v>59</v>
      </c>
      <c r="E564" s="25">
        <v>1638.07</v>
      </c>
      <c r="F564" s="25">
        <v>577.16</v>
      </c>
      <c r="G564" s="26">
        <f>T_Ventes[[#This Row],[CA HT]]-T_Ventes[[#This Row],[Coût achat HT]]</f>
        <v>1060.9099999999999</v>
      </c>
      <c r="H564" s="27">
        <f>DATE(YEAR(T_Ventes[[#This Row],[Date facture]]),MONTH(T_Ventes[[#This Row],[Date facture]]),1)</f>
        <v>46054</v>
      </c>
      <c r="I564" s="28">
        <f>YEAR(T_Ventes[[#This Row],[Date facture]])</f>
        <v>2026</v>
      </c>
    </row>
    <row r="565" spans="1:9" x14ac:dyDescent="0.3">
      <c r="A565" s="23">
        <v>46061</v>
      </c>
      <c r="B565" s="24" t="s">
        <v>660</v>
      </c>
      <c r="C565" s="24" t="s">
        <v>56</v>
      </c>
      <c r="D565" s="24" t="s">
        <v>64</v>
      </c>
      <c r="E565" s="25">
        <v>4281.42</v>
      </c>
      <c r="F565" s="25">
        <v>3205.71</v>
      </c>
      <c r="G565" s="26">
        <f>T_Ventes[[#This Row],[CA HT]]-T_Ventes[[#This Row],[Coût achat HT]]</f>
        <v>1075.71</v>
      </c>
      <c r="H565" s="27">
        <f>DATE(YEAR(T_Ventes[[#This Row],[Date facture]]),MONTH(T_Ventes[[#This Row],[Date facture]]),1)</f>
        <v>46054</v>
      </c>
      <c r="I565" s="28">
        <f>YEAR(T_Ventes[[#This Row],[Date facture]])</f>
        <v>2026</v>
      </c>
    </row>
    <row r="566" spans="1:9" x14ac:dyDescent="0.3">
      <c r="A566" s="23">
        <v>46061</v>
      </c>
      <c r="B566" s="24" t="s">
        <v>661</v>
      </c>
      <c r="C566" s="24" t="s">
        <v>56</v>
      </c>
      <c r="D566" s="24" t="s">
        <v>57</v>
      </c>
      <c r="E566" s="25">
        <v>4710.49</v>
      </c>
      <c r="F566" s="25">
        <v>3032.3</v>
      </c>
      <c r="G566" s="26">
        <f>T_Ventes[[#This Row],[CA HT]]-T_Ventes[[#This Row],[Coût achat HT]]</f>
        <v>1678.1899999999996</v>
      </c>
      <c r="H566" s="27">
        <f>DATE(YEAR(T_Ventes[[#This Row],[Date facture]]),MONTH(T_Ventes[[#This Row],[Date facture]]),1)</f>
        <v>46054</v>
      </c>
      <c r="I566" s="28">
        <f>YEAR(T_Ventes[[#This Row],[Date facture]])</f>
        <v>2026</v>
      </c>
    </row>
    <row r="567" spans="1:9" x14ac:dyDescent="0.3">
      <c r="A567" s="23">
        <v>46061</v>
      </c>
      <c r="B567" s="24" t="s">
        <v>662</v>
      </c>
      <c r="C567" s="24" t="s">
        <v>108</v>
      </c>
      <c r="D567" s="24" t="s">
        <v>71</v>
      </c>
      <c r="E567" s="25">
        <v>5370.7</v>
      </c>
      <c r="F567" s="25">
        <v>3219.91</v>
      </c>
      <c r="G567" s="26">
        <f>T_Ventes[[#This Row],[CA HT]]-T_Ventes[[#This Row],[Coût achat HT]]</f>
        <v>2150.79</v>
      </c>
      <c r="H567" s="27">
        <f>DATE(YEAR(T_Ventes[[#This Row],[Date facture]]),MONTH(T_Ventes[[#This Row],[Date facture]]),1)</f>
        <v>46054</v>
      </c>
      <c r="I567" s="28">
        <f>YEAR(T_Ventes[[#This Row],[Date facture]])</f>
        <v>2026</v>
      </c>
    </row>
    <row r="568" spans="1:9" x14ac:dyDescent="0.3">
      <c r="A568" s="23">
        <v>46062</v>
      </c>
      <c r="B568" s="24" t="s">
        <v>663</v>
      </c>
      <c r="C568" s="24" t="s">
        <v>73</v>
      </c>
      <c r="D568" s="24" t="s">
        <v>64</v>
      </c>
      <c r="E568" s="25">
        <v>4246.1099999999997</v>
      </c>
      <c r="F568" s="25">
        <v>3177.55</v>
      </c>
      <c r="G568" s="26">
        <f>T_Ventes[[#This Row],[CA HT]]-T_Ventes[[#This Row],[Coût achat HT]]</f>
        <v>1068.5599999999995</v>
      </c>
      <c r="H568" s="27">
        <f>DATE(YEAR(T_Ventes[[#This Row],[Date facture]]),MONTH(T_Ventes[[#This Row],[Date facture]]),1)</f>
        <v>46054</v>
      </c>
      <c r="I568" s="28">
        <f>YEAR(T_Ventes[[#This Row],[Date facture]])</f>
        <v>2026</v>
      </c>
    </row>
    <row r="569" spans="1:9" x14ac:dyDescent="0.3">
      <c r="A569" s="23">
        <v>46062</v>
      </c>
      <c r="B569" s="24" t="s">
        <v>664</v>
      </c>
      <c r="C569" s="24" t="s">
        <v>80</v>
      </c>
      <c r="D569" s="24" t="s">
        <v>64</v>
      </c>
      <c r="E569" s="25">
        <v>1581.18</v>
      </c>
      <c r="F569" s="25">
        <v>1214.6099999999999</v>
      </c>
      <c r="G569" s="26">
        <f>T_Ventes[[#This Row],[CA HT]]-T_Ventes[[#This Row],[Coût achat HT]]</f>
        <v>366.57000000000016</v>
      </c>
      <c r="H569" s="27">
        <f>DATE(YEAR(T_Ventes[[#This Row],[Date facture]]),MONTH(T_Ventes[[#This Row],[Date facture]]),1)</f>
        <v>46054</v>
      </c>
      <c r="I569" s="28">
        <f>YEAR(T_Ventes[[#This Row],[Date facture]])</f>
        <v>2026</v>
      </c>
    </row>
    <row r="570" spans="1:9" x14ac:dyDescent="0.3">
      <c r="A570" s="23">
        <v>46063</v>
      </c>
      <c r="B570" s="24" t="s">
        <v>665</v>
      </c>
      <c r="C570" s="24" t="s">
        <v>70</v>
      </c>
      <c r="D570" s="24" t="s">
        <v>64</v>
      </c>
      <c r="E570" s="25">
        <v>5812.89</v>
      </c>
      <c r="F570" s="25">
        <v>4460.29</v>
      </c>
      <c r="G570" s="26">
        <f>T_Ventes[[#This Row],[CA HT]]-T_Ventes[[#This Row],[Coût achat HT]]</f>
        <v>1352.6000000000004</v>
      </c>
      <c r="H570" s="27">
        <f>DATE(YEAR(T_Ventes[[#This Row],[Date facture]]),MONTH(T_Ventes[[#This Row],[Date facture]]),1)</f>
        <v>46054</v>
      </c>
      <c r="I570" s="28">
        <f>YEAR(T_Ventes[[#This Row],[Date facture]])</f>
        <v>2026</v>
      </c>
    </row>
    <row r="571" spans="1:9" x14ac:dyDescent="0.3">
      <c r="A571" s="23">
        <v>46063</v>
      </c>
      <c r="B571" s="24" t="s">
        <v>666</v>
      </c>
      <c r="C571" s="24" t="s">
        <v>410</v>
      </c>
      <c r="D571" s="24" t="s">
        <v>64</v>
      </c>
      <c r="E571" s="25">
        <v>6094.39</v>
      </c>
      <c r="F571" s="25">
        <v>4676.08</v>
      </c>
      <c r="G571" s="26">
        <f>T_Ventes[[#This Row],[CA HT]]-T_Ventes[[#This Row],[Coût achat HT]]</f>
        <v>1418.3100000000004</v>
      </c>
      <c r="H571" s="27">
        <f>DATE(YEAR(T_Ventes[[#This Row],[Date facture]]),MONTH(T_Ventes[[#This Row],[Date facture]]),1)</f>
        <v>46054</v>
      </c>
      <c r="I571" s="28">
        <f>YEAR(T_Ventes[[#This Row],[Date facture]])</f>
        <v>2026</v>
      </c>
    </row>
    <row r="572" spans="1:9" x14ac:dyDescent="0.3">
      <c r="A572" s="23">
        <v>46063</v>
      </c>
      <c r="B572" s="24" t="s">
        <v>667</v>
      </c>
      <c r="C572" s="24" t="s">
        <v>76</v>
      </c>
      <c r="D572" s="24" t="s">
        <v>57</v>
      </c>
      <c r="E572" s="25">
        <v>5676.14</v>
      </c>
      <c r="F572" s="25">
        <v>3780.32</v>
      </c>
      <c r="G572" s="26">
        <f>T_Ventes[[#This Row],[CA HT]]-T_Ventes[[#This Row],[Coût achat HT]]</f>
        <v>1895.8200000000002</v>
      </c>
      <c r="H572" s="27">
        <f>DATE(YEAR(T_Ventes[[#This Row],[Date facture]]),MONTH(T_Ventes[[#This Row],[Date facture]]),1)</f>
        <v>46054</v>
      </c>
      <c r="I572" s="28">
        <f>YEAR(T_Ventes[[#This Row],[Date facture]])</f>
        <v>2026</v>
      </c>
    </row>
    <row r="573" spans="1:9" x14ac:dyDescent="0.3">
      <c r="A573" s="23">
        <v>46064</v>
      </c>
      <c r="B573" s="24" t="s">
        <v>668</v>
      </c>
      <c r="C573" s="24" t="s">
        <v>78</v>
      </c>
      <c r="D573" s="24" t="s">
        <v>64</v>
      </c>
      <c r="E573" s="25">
        <v>2252.31</v>
      </c>
      <c r="F573" s="25">
        <v>1723.52</v>
      </c>
      <c r="G573" s="26">
        <f>T_Ventes[[#This Row],[CA HT]]-T_Ventes[[#This Row],[Coût achat HT]]</f>
        <v>528.79</v>
      </c>
      <c r="H573" s="27">
        <f>DATE(YEAR(T_Ventes[[#This Row],[Date facture]]),MONTH(T_Ventes[[#This Row],[Date facture]]),1)</f>
        <v>46054</v>
      </c>
      <c r="I573" s="28">
        <f>YEAR(T_Ventes[[#This Row],[Date facture]])</f>
        <v>2026</v>
      </c>
    </row>
    <row r="574" spans="1:9" x14ac:dyDescent="0.3">
      <c r="A574" s="23">
        <v>46064</v>
      </c>
      <c r="B574" s="24" t="s">
        <v>669</v>
      </c>
      <c r="C574" s="24" t="s">
        <v>63</v>
      </c>
      <c r="D574" s="24" t="s">
        <v>57</v>
      </c>
      <c r="E574" s="25">
        <v>4797.13</v>
      </c>
      <c r="F574" s="25">
        <v>3189.18</v>
      </c>
      <c r="G574" s="26">
        <f>T_Ventes[[#This Row],[CA HT]]-T_Ventes[[#This Row],[Coût achat HT]]</f>
        <v>1607.9500000000003</v>
      </c>
      <c r="H574" s="27">
        <f>DATE(YEAR(T_Ventes[[#This Row],[Date facture]]),MONTH(T_Ventes[[#This Row],[Date facture]]),1)</f>
        <v>46054</v>
      </c>
      <c r="I574" s="28">
        <f>YEAR(T_Ventes[[#This Row],[Date facture]])</f>
        <v>2026</v>
      </c>
    </row>
    <row r="575" spans="1:9" x14ac:dyDescent="0.3">
      <c r="A575" s="23">
        <v>46064</v>
      </c>
      <c r="B575" s="24" t="s">
        <v>670</v>
      </c>
      <c r="C575" s="24" t="s">
        <v>80</v>
      </c>
      <c r="D575" s="24" t="s">
        <v>71</v>
      </c>
      <c r="E575" s="25">
        <v>3140.54</v>
      </c>
      <c r="F575" s="25">
        <v>1813.71</v>
      </c>
      <c r="G575" s="26">
        <f>T_Ventes[[#This Row],[CA HT]]-T_Ventes[[#This Row],[Coût achat HT]]</f>
        <v>1326.83</v>
      </c>
      <c r="H575" s="27">
        <f>DATE(YEAR(T_Ventes[[#This Row],[Date facture]]),MONTH(T_Ventes[[#This Row],[Date facture]]),1)</f>
        <v>46054</v>
      </c>
      <c r="I575" s="28">
        <f>YEAR(T_Ventes[[#This Row],[Date facture]])</f>
        <v>2026</v>
      </c>
    </row>
    <row r="576" spans="1:9" x14ac:dyDescent="0.3">
      <c r="A576" s="23">
        <v>46064</v>
      </c>
      <c r="B576" s="24" t="s">
        <v>671</v>
      </c>
      <c r="C576" s="24" t="s">
        <v>80</v>
      </c>
      <c r="D576" s="24" t="s">
        <v>71</v>
      </c>
      <c r="E576" s="25">
        <v>6319.46</v>
      </c>
      <c r="F576" s="25">
        <v>3772.67</v>
      </c>
      <c r="G576" s="26">
        <f>T_Ventes[[#This Row],[CA HT]]-T_Ventes[[#This Row],[Coût achat HT]]</f>
        <v>2546.79</v>
      </c>
      <c r="H576" s="27">
        <f>DATE(YEAR(T_Ventes[[#This Row],[Date facture]]),MONTH(T_Ventes[[#This Row],[Date facture]]),1)</f>
        <v>46054</v>
      </c>
      <c r="I576" s="28">
        <f>YEAR(T_Ventes[[#This Row],[Date facture]])</f>
        <v>2026</v>
      </c>
    </row>
    <row r="577" spans="1:9" x14ac:dyDescent="0.3">
      <c r="A577" s="23">
        <v>46066</v>
      </c>
      <c r="B577" s="24" t="s">
        <v>672</v>
      </c>
      <c r="C577" s="24" t="s">
        <v>108</v>
      </c>
      <c r="D577" s="24" t="s">
        <v>64</v>
      </c>
      <c r="E577" s="25">
        <v>1254.97</v>
      </c>
      <c r="F577" s="25">
        <v>944.7</v>
      </c>
      <c r="G577" s="26">
        <f>T_Ventes[[#This Row],[CA HT]]-T_Ventes[[#This Row],[Coût achat HT]]</f>
        <v>310.27</v>
      </c>
      <c r="H577" s="27">
        <f>DATE(YEAR(T_Ventes[[#This Row],[Date facture]]),MONTH(T_Ventes[[#This Row],[Date facture]]),1)</f>
        <v>46054</v>
      </c>
      <c r="I577" s="28">
        <f>YEAR(T_Ventes[[#This Row],[Date facture]])</f>
        <v>2026</v>
      </c>
    </row>
    <row r="578" spans="1:9" x14ac:dyDescent="0.3">
      <c r="A578" s="23">
        <v>46066</v>
      </c>
      <c r="B578" s="24" t="s">
        <v>673</v>
      </c>
      <c r="C578" s="24" t="s">
        <v>103</v>
      </c>
      <c r="D578" s="24" t="s">
        <v>57</v>
      </c>
      <c r="E578" s="25">
        <v>2083.16</v>
      </c>
      <c r="F578" s="25">
        <v>1366.09</v>
      </c>
      <c r="G578" s="26">
        <f>T_Ventes[[#This Row],[CA HT]]-T_Ventes[[#This Row],[Coût achat HT]]</f>
        <v>717.06999999999994</v>
      </c>
      <c r="H578" s="27">
        <f>DATE(YEAR(T_Ventes[[#This Row],[Date facture]]),MONTH(T_Ventes[[#This Row],[Date facture]]),1)</f>
        <v>46054</v>
      </c>
      <c r="I578" s="28">
        <f>YEAR(T_Ventes[[#This Row],[Date facture]])</f>
        <v>2026</v>
      </c>
    </row>
    <row r="579" spans="1:9" x14ac:dyDescent="0.3">
      <c r="A579" s="23">
        <v>46069</v>
      </c>
      <c r="B579" s="24" t="s">
        <v>674</v>
      </c>
      <c r="C579" s="24" t="s">
        <v>108</v>
      </c>
      <c r="D579" s="24" t="s">
        <v>64</v>
      </c>
      <c r="E579" s="25">
        <v>2264.4699999999998</v>
      </c>
      <c r="F579" s="25">
        <v>1735.87</v>
      </c>
      <c r="G579" s="26">
        <f>T_Ventes[[#This Row],[CA HT]]-T_Ventes[[#This Row],[Coût achat HT]]</f>
        <v>528.59999999999991</v>
      </c>
      <c r="H579" s="27">
        <f>DATE(YEAR(T_Ventes[[#This Row],[Date facture]]),MONTH(T_Ventes[[#This Row],[Date facture]]),1)</f>
        <v>46054</v>
      </c>
      <c r="I579" s="28">
        <f>YEAR(T_Ventes[[#This Row],[Date facture]])</f>
        <v>2026</v>
      </c>
    </row>
    <row r="580" spans="1:9" x14ac:dyDescent="0.3">
      <c r="A580" s="23">
        <v>46069</v>
      </c>
      <c r="B580" s="24" t="s">
        <v>675</v>
      </c>
      <c r="C580" s="24" t="s">
        <v>166</v>
      </c>
      <c r="D580" s="24" t="s">
        <v>57</v>
      </c>
      <c r="E580" s="25">
        <v>1896.58</v>
      </c>
      <c r="F580" s="25">
        <v>1280.8599999999999</v>
      </c>
      <c r="G580" s="26">
        <f>T_Ventes[[#This Row],[CA HT]]-T_Ventes[[#This Row],[Coût achat HT]]</f>
        <v>615.72</v>
      </c>
      <c r="H580" s="27">
        <f>DATE(YEAR(T_Ventes[[#This Row],[Date facture]]),MONTH(T_Ventes[[#This Row],[Date facture]]),1)</f>
        <v>46054</v>
      </c>
      <c r="I580" s="28">
        <f>YEAR(T_Ventes[[#This Row],[Date facture]])</f>
        <v>2026</v>
      </c>
    </row>
    <row r="581" spans="1:9" x14ac:dyDescent="0.3">
      <c r="A581" s="23">
        <v>46070</v>
      </c>
      <c r="B581" s="24" t="s">
        <v>676</v>
      </c>
      <c r="C581" s="24" t="s">
        <v>105</v>
      </c>
      <c r="D581" s="24" t="s">
        <v>71</v>
      </c>
      <c r="E581" s="25">
        <v>2936.5</v>
      </c>
      <c r="F581" s="25">
        <v>1772.13</v>
      </c>
      <c r="G581" s="26">
        <f>T_Ventes[[#This Row],[CA HT]]-T_Ventes[[#This Row],[Coût achat HT]]</f>
        <v>1164.3699999999999</v>
      </c>
      <c r="H581" s="27">
        <f>DATE(YEAR(T_Ventes[[#This Row],[Date facture]]),MONTH(T_Ventes[[#This Row],[Date facture]]),1)</f>
        <v>46054</v>
      </c>
      <c r="I581" s="28">
        <f>YEAR(T_Ventes[[#This Row],[Date facture]])</f>
        <v>2026</v>
      </c>
    </row>
    <row r="582" spans="1:9" x14ac:dyDescent="0.3">
      <c r="A582" s="23">
        <v>46071</v>
      </c>
      <c r="B582" s="24" t="s">
        <v>677</v>
      </c>
      <c r="C582" s="24" t="s">
        <v>139</v>
      </c>
      <c r="D582" s="24" t="s">
        <v>71</v>
      </c>
      <c r="E582" s="25">
        <v>1379.85</v>
      </c>
      <c r="F582" s="25">
        <v>797.47</v>
      </c>
      <c r="G582" s="26">
        <f>T_Ventes[[#This Row],[CA HT]]-T_Ventes[[#This Row],[Coût achat HT]]</f>
        <v>582.37999999999988</v>
      </c>
      <c r="H582" s="27">
        <f>DATE(YEAR(T_Ventes[[#This Row],[Date facture]]),MONTH(T_Ventes[[#This Row],[Date facture]]),1)</f>
        <v>46054</v>
      </c>
      <c r="I582" s="28">
        <f>YEAR(T_Ventes[[#This Row],[Date facture]])</f>
        <v>2026</v>
      </c>
    </row>
    <row r="583" spans="1:9" x14ac:dyDescent="0.3">
      <c r="A583" s="23">
        <v>46071</v>
      </c>
      <c r="B583" s="24" t="s">
        <v>678</v>
      </c>
      <c r="C583" s="24" t="s">
        <v>56</v>
      </c>
      <c r="D583" s="24" t="s">
        <v>59</v>
      </c>
      <c r="E583" s="25">
        <v>6791.89</v>
      </c>
      <c r="F583" s="25">
        <v>2772.35</v>
      </c>
      <c r="G583" s="26">
        <f>T_Ventes[[#This Row],[CA HT]]-T_Ventes[[#This Row],[Coût achat HT]]</f>
        <v>4019.5400000000004</v>
      </c>
      <c r="H583" s="27">
        <f>DATE(YEAR(T_Ventes[[#This Row],[Date facture]]),MONTH(T_Ventes[[#This Row],[Date facture]]),1)</f>
        <v>46054</v>
      </c>
      <c r="I583" s="28">
        <f>YEAR(T_Ventes[[#This Row],[Date facture]])</f>
        <v>2026</v>
      </c>
    </row>
    <row r="584" spans="1:9" x14ac:dyDescent="0.3">
      <c r="A584" s="23">
        <v>46072</v>
      </c>
      <c r="B584" s="24" t="s">
        <v>679</v>
      </c>
      <c r="C584" s="24" t="s">
        <v>56</v>
      </c>
      <c r="D584" s="24" t="s">
        <v>64</v>
      </c>
      <c r="E584" s="25">
        <v>2814.55</v>
      </c>
      <c r="F584" s="25">
        <v>2119.42</v>
      </c>
      <c r="G584" s="26">
        <f>T_Ventes[[#This Row],[CA HT]]-T_Ventes[[#This Row],[Coût achat HT]]</f>
        <v>695.13000000000011</v>
      </c>
      <c r="H584" s="27">
        <f>DATE(YEAR(T_Ventes[[#This Row],[Date facture]]),MONTH(T_Ventes[[#This Row],[Date facture]]),1)</f>
        <v>46054</v>
      </c>
      <c r="I584" s="28">
        <f>YEAR(T_Ventes[[#This Row],[Date facture]])</f>
        <v>2026</v>
      </c>
    </row>
    <row r="585" spans="1:9" x14ac:dyDescent="0.3">
      <c r="A585" s="23">
        <v>46074</v>
      </c>
      <c r="B585" s="24" t="s">
        <v>680</v>
      </c>
      <c r="C585" s="24" t="s">
        <v>90</v>
      </c>
      <c r="D585" s="24" t="s">
        <v>64</v>
      </c>
      <c r="E585" s="25">
        <v>4305.43</v>
      </c>
      <c r="F585" s="25">
        <v>3304.25</v>
      </c>
      <c r="G585" s="26">
        <f>T_Ventes[[#This Row],[CA HT]]-T_Ventes[[#This Row],[Coût achat HT]]</f>
        <v>1001.1800000000003</v>
      </c>
      <c r="H585" s="27">
        <f>DATE(YEAR(T_Ventes[[#This Row],[Date facture]]),MONTH(T_Ventes[[#This Row],[Date facture]]),1)</f>
        <v>46054</v>
      </c>
      <c r="I585" s="28">
        <f>YEAR(T_Ventes[[#This Row],[Date facture]])</f>
        <v>2026</v>
      </c>
    </row>
    <row r="586" spans="1:9" x14ac:dyDescent="0.3">
      <c r="A586" s="23">
        <v>46074</v>
      </c>
      <c r="B586" s="24" t="s">
        <v>681</v>
      </c>
      <c r="C586" s="24" t="s">
        <v>115</v>
      </c>
      <c r="D586" s="24" t="s">
        <v>64</v>
      </c>
      <c r="E586" s="25">
        <v>5094.5600000000004</v>
      </c>
      <c r="F586" s="25">
        <v>3857.61</v>
      </c>
      <c r="G586" s="26">
        <f>T_Ventes[[#This Row],[CA HT]]-T_Ventes[[#This Row],[Coût achat HT]]</f>
        <v>1236.9500000000003</v>
      </c>
      <c r="H586" s="27">
        <f>DATE(YEAR(T_Ventes[[#This Row],[Date facture]]),MONTH(T_Ventes[[#This Row],[Date facture]]),1)</f>
        <v>46054</v>
      </c>
      <c r="I586" s="28">
        <f>YEAR(T_Ventes[[#This Row],[Date facture]])</f>
        <v>2026</v>
      </c>
    </row>
    <row r="587" spans="1:9" x14ac:dyDescent="0.3">
      <c r="A587" s="23">
        <v>46074</v>
      </c>
      <c r="B587" s="24" t="s">
        <v>682</v>
      </c>
      <c r="C587" s="24" t="s">
        <v>56</v>
      </c>
      <c r="D587" s="24" t="s">
        <v>57</v>
      </c>
      <c r="E587" s="25">
        <v>3358.66</v>
      </c>
      <c r="F587" s="25">
        <v>2266.02</v>
      </c>
      <c r="G587" s="26">
        <f>T_Ventes[[#This Row],[CA HT]]-T_Ventes[[#This Row],[Coût achat HT]]</f>
        <v>1092.6399999999999</v>
      </c>
      <c r="H587" s="27">
        <f>DATE(YEAR(T_Ventes[[#This Row],[Date facture]]),MONTH(T_Ventes[[#This Row],[Date facture]]),1)</f>
        <v>46054</v>
      </c>
      <c r="I587" s="28">
        <f>YEAR(T_Ventes[[#This Row],[Date facture]])</f>
        <v>2026</v>
      </c>
    </row>
    <row r="588" spans="1:9" x14ac:dyDescent="0.3">
      <c r="A588" s="23">
        <v>46074</v>
      </c>
      <c r="B588" s="24" t="s">
        <v>683</v>
      </c>
      <c r="C588" s="24" t="s">
        <v>80</v>
      </c>
      <c r="D588" s="24" t="s">
        <v>59</v>
      </c>
      <c r="E588" s="25">
        <v>5043.0200000000004</v>
      </c>
      <c r="F588" s="25">
        <v>1882.35</v>
      </c>
      <c r="G588" s="26">
        <f>T_Ventes[[#This Row],[CA HT]]-T_Ventes[[#This Row],[Coût achat HT]]</f>
        <v>3160.6700000000005</v>
      </c>
      <c r="H588" s="27">
        <f>DATE(YEAR(T_Ventes[[#This Row],[Date facture]]),MONTH(T_Ventes[[#This Row],[Date facture]]),1)</f>
        <v>46054</v>
      </c>
      <c r="I588" s="28">
        <f>YEAR(T_Ventes[[#This Row],[Date facture]])</f>
        <v>2026</v>
      </c>
    </row>
    <row r="589" spans="1:9" x14ac:dyDescent="0.3">
      <c r="A589" s="23">
        <v>46076</v>
      </c>
      <c r="B589" s="24" t="s">
        <v>684</v>
      </c>
      <c r="C589" s="24" t="s">
        <v>247</v>
      </c>
      <c r="D589" s="24" t="s">
        <v>64</v>
      </c>
      <c r="E589" s="25">
        <v>6436.78</v>
      </c>
      <c r="F589" s="25">
        <v>4894.58</v>
      </c>
      <c r="G589" s="26">
        <f>T_Ventes[[#This Row],[CA HT]]-T_Ventes[[#This Row],[Coût achat HT]]</f>
        <v>1542.1999999999998</v>
      </c>
      <c r="H589" s="27">
        <f>DATE(YEAR(T_Ventes[[#This Row],[Date facture]]),MONTH(T_Ventes[[#This Row],[Date facture]]),1)</f>
        <v>46054</v>
      </c>
      <c r="I589" s="28">
        <f>YEAR(T_Ventes[[#This Row],[Date facture]])</f>
        <v>2026</v>
      </c>
    </row>
    <row r="590" spans="1:9" x14ac:dyDescent="0.3">
      <c r="A590" s="23">
        <v>46076</v>
      </c>
      <c r="B590" s="24" t="s">
        <v>685</v>
      </c>
      <c r="C590" s="24" t="s">
        <v>73</v>
      </c>
      <c r="D590" s="24" t="s">
        <v>57</v>
      </c>
      <c r="E590" s="25">
        <v>5037.3</v>
      </c>
      <c r="F590" s="25">
        <v>3317.92</v>
      </c>
      <c r="G590" s="26">
        <f>T_Ventes[[#This Row],[CA HT]]-T_Ventes[[#This Row],[Coût achat HT]]</f>
        <v>1719.38</v>
      </c>
      <c r="H590" s="27">
        <f>DATE(YEAR(T_Ventes[[#This Row],[Date facture]]),MONTH(T_Ventes[[#This Row],[Date facture]]),1)</f>
        <v>46054</v>
      </c>
      <c r="I590" s="28">
        <f>YEAR(T_Ventes[[#This Row],[Date facture]])</f>
        <v>2026</v>
      </c>
    </row>
    <row r="591" spans="1:9" x14ac:dyDescent="0.3">
      <c r="A591" s="23">
        <v>46076</v>
      </c>
      <c r="B591" s="24" t="s">
        <v>686</v>
      </c>
      <c r="C591" s="24" t="s">
        <v>66</v>
      </c>
      <c r="D591" s="24" t="s">
        <v>71</v>
      </c>
      <c r="E591" s="25">
        <v>2598.81</v>
      </c>
      <c r="F591" s="25">
        <v>1489.62</v>
      </c>
      <c r="G591" s="26">
        <f>T_Ventes[[#This Row],[CA HT]]-T_Ventes[[#This Row],[Coût achat HT]]</f>
        <v>1109.19</v>
      </c>
      <c r="H591" s="27">
        <f>DATE(YEAR(T_Ventes[[#This Row],[Date facture]]),MONTH(T_Ventes[[#This Row],[Date facture]]),1)</f>
        <v>46054</v>
      </c>
      <c r="I591" s="28">
        <f>YEAR(T_Ventes[[#This Row],[Date facture]])</f>
        <v>2026</v>
      </c>
    </row>
    <row r="592" spans="1:9" x14ac:dyDescent="0.3">
      <c r="A592" s="23">
        <v>46077</v>
      </c>
      <c r="B592" s="24" t="s">
        <v>687</v>
      </c>
      <c r="C592" s="24" t="s">
        <v>76</v>
      </c>
      <c r="D592" s="24" t="s">
        <v>64</v>
      </c>
      <c r="E592" s="25">
        <v>5118.7700000000004</v>
      </c>
      <c r="F592" s="25">
        <v>3920.75</v>
      </c>
      <c r="G592" s="26">
        <f>T_Ventes[[#This Row],[CA HT]]-T_Ventes[[#This Row],[Coût achat HT]]</f>
        <v>1198.0200000000004</v>
      </c>
      <c r="H592" s="27">
        <f>DATE(YEAR(T_Ventes[[#This Row],[Date facture]]),MONTH(T_Ventes[[#This Row],[Date facture]]),1)</f>
        <v>46054</v>
      </c>
      <c r="I592" s="28">
        <f>YEAR(T_Ventes[[#This Row],[Date facture]])</f>
        <v>2026</v>
      </c>
    </row>
    <row r="593" spans="1:9" x14ac:dyDescent="0.3">
      <c r="A593" s="23">
        <v>46077</v>
      </c>
      <c r="B593" s="24" t="s">
        <v>688</v>
      </c>
      <c r="C593" s="24" t="s">
        <v>128</v>
      </c>
      <c r="D593" s="24" t="s">
        <v>57</v>
      </c>
      <c r="E593" s="25">
        <v>1548.97</v>
      </c>
      <c r="F593" s="25">
        <v>1045.53</v>
      </c>
      <c r="G593" s="26">
        <f>T_Ventes[[#This Row],[CA HT]]-T_Ventes[[#This Row],[Coût achat HT]]</f>
        <v>503.44000000000005</v>
      </c>
      <c r="H593" s="27">
        <f>DATE(YEAR(T_Ventes[[#This Row],[Date facture]]),MONTH(T_Ventes[[#This Row],[Date facture]]),1)</f>
        <v>46054</v>
      </c>
      <c r="I593" s="28">
        <f>YEAR(T_Ventes[[#This Row],[Date facture]])</f>
        <v>2026</v>
      </c>
    </row>
    <row r="594" spans="1:9" x14ac:dyDescent="0.3">
      <c r="A594" s="23">
        <v>46077</v>
      </c>
      <c r="B594" s="24" t="s">
        <v>689</v>
      </c>
      <c r="C594" s="24" t="s">
        <v>80</v>
      </c>
      <c r="D594" s="24" t="s">
        <v>59</v>
      </c>
      <c r="E594" s="25">
        <v>4477.04</v>
      </c>
      <c r="F594" s="25">
        <v>1727.13</v>
      </c>
      <c r="G594" s="26">
        <f>T_Ventes[[#This Row],[CA HT]]-T_Ventes[[#This Row],[Coût achat HT]]</f>
        <v>2749.91</v>
      </c>
      <c r="H594" s="27">
        <f>DATE(YEAR(T_Ventes[[#This Row],[Date facture]]),MONTH(T_Ventes[[#This Row],[Date facture]]),1)</f>
        <v>46054</v>
      </c>
      <c r="I594" s="28">
        <f>YEAR(T_Ventes[[#This Row],[Date facture]])</f>
        <v>2026</v>
      </c>
    </row>
    <row r="595" spans="1:9" x14ac:dyDescent="0.3">
      <c r="A595" s="23">
        <v>46078</v>
      </c>
      <c r="B595" s="24" t="s">
        <v>690</v>
      </c>
      <c r="C595" s="24" t="s">
        <v>173</v>
      </c>
      <c r="D595" s="24" t="s">
        <v>64</v>
      </c>
      <c r="E595" s="25">
        <v>6126.13</v>
      </c>
      <c r="F595" s="25">
        <v>4598.55</v>
      </c>
      <c r="G595" s="26">
        <f>T_Ventes[[#This Row],[CA HT]]-T_Ventes[[#This Row],[Coût achat HT]]</f>
        <v>1527.58</v>
      </c>
      <c r="H595" s="27">
        <f>DATE(YEAR(T_Ventes[[#This Row],[Date facture]]),MONTH(T_Ventes[[#This Row],[Date facture]]),1)</f>
        <v>46054</v>
      </c>
      <c r="I595" s="28">
        <f>YEAR(T_Ventes[[#This Row],[Date facture]])</f>
        <v>2026</v>
      </c>
    </row>
    <row r="596" spans="1:9" x14ac:dyDescent="0.3">
      <c r="A596" s="23">
        <v>46078</v>
      </c>
      <c r="B596" s="24" t="s">
        <v>691</v>
      </c>
      <c r="C596" s="24" t="s">
        <v>80</v>
      </c>
      <c r="D596" s="24" t="s">
        <v>64</v>
      </c>
      <c r="E596" s="25">
        <v>1772.69</v>
      </c>
      <c r="F596" s="25">
        <v>1346.84</v>
      </c>
      <c r="G596" s="26">
        <f>T_Ventes[[#This Row],[CA HT]]-T_Ventes[[#This Row],[Coût achat HT]]</f>
        <v>425.85000000000014</v>
      </c>
      <c r="H596" s="27">
        <f>DATE(YEAR(T_Ventes[[#This Row],[Date facture]]),MONTH(T_Ventes[[#This Row],[Date facture]]),1)</f>
        <v>46054</v>
      </c>
      <c r="I596" s="28">
        <f>YEAR(T_Ventes[[#This Row],[Date facture]])</f>
        <v>2026</v>
      </c>
    </row>
    <row r="597" spans="1:9" x14ac:dyDescent="0.3">
      <c r="A597" s="23">
        <v>46078</v>
      </c>
      <c r="B597" s="24" t="s">
        <v>692</v>
      </c>
      <c r="C597" s="24" t="s">
        <v>103</v>
      </c>
      <c r="D597" s="24" t="s">
        <v>64</v>
      </c>
      <c r="E597" s="25">
        <v>5798.83</v>
      </c>
      <c r="F597" s="25">
        <v>4466.5</v>
      </c>
      <c r="G597" s="26">
        <f>T_Ventes[[#This Row],[CA HT]]-T_Ventes[[#This Row],[Coût achat HT]]</f>
        <v>1332.33</v>
      </c>
      <c r="H597" s="27">
        <f>DATE(YEAR(T_Ventes[[#This Row],[Date facture]]),MONTH(T_Ventes[[#This Row],[Date facture]]),1)</f>
        <v>46054</v>
      </c>
      <c r="I597" s="28">
        <f>YEAR(T_Ventes[[#This Row],[Date facture]])</f>
        <v>2026</v>
      </c>
    </row>
    <row r="598" spans="1:9" x14ac:dyDescent="0.3">
      <c r="A598" s="23">
        <v>46078</v>
      </c>
      <c r="B598" s="24" t="s">
        <v>693</v>
      </c>
      <c r="C598" s="24" t="s">
        <v>66</v>
      </c>
      <c r="D598" s="24" t="s">
        <v>57</v>
      </c>
      <c r="E598" s="25">
        <v>1972.38</v>
      </c>
      <c r="F598" s="25">
        <v>1285.5999999999999</v>
      </c>
      <c r="G598" s="26">
        <f>T_Ventes[[#This Row],[CA HT]]-T_Ventes[[#This Row],[Coût achat HT]]</f>
        <v>686.7800000000002</v>
      </c>
      <c r="H598" s="27">
        <f>DATE(YEAR(T_Ventes[[#This Row],[Date facture]]),MONTH(T_Ventes[[#This Row],[Date facture]]),1)</f>
        <v>46054</v>
      </c>
      <c r="I598" s="28">
        <f>YEAR(T_Ventes[[#This Row],[Date facture]])</f>
        <v>2026</v>
      </c>
    </row>
    <row r="599" spans="1:9" x14ac:dyDescent="0.3">
      <c r="A599" s="23">
        <v>46078</v>
      </c>
      <c r="B599" s="24" t="s">
        <v>694</v>
      </c>
      <c r="C599" s="24" t="s">
        <v>80</v>
      </c>
      <c r="D599" s="24" t="s">
        <v>71</v>
      </c>
      <c r="E599" s="25">
        <v>2928.47</v>
      </c>
      <c r="F599" s="25">
        <v>1739.81</v>
      </c>
      <c r="G599" s="26">
        <f>T_Ventes[[#This Row],[CA HT]]-T_Ventes[[#This Row],[Coût achat HT]]</f>
        <v>1188.6599999999999</v>
      </c>
      <c r="H599" s="27">
        <f>DATE(YEAR(T_Ventes[[#This Row],[Date facture]]),MONTH(T_Ventes[[#This Row],[Date facture]]),1)</f>
        <v>46054</v>
      </c>
      <c r="I599" s="28">
        <f>YEAR(T_Ventes[[#This Row],[Date facture]])</f>
        <v>2026</v>
      </c>
    </row>
    <row r="600" spans="1:9" x14ac:dyDescent="0.3">
      <c r="A600" s="23">
        <v>46079</v>
      </c>
      <c r="B600" s="24" t="s">
        <v>695</v>
      </c>
      <c r="C600" s="24" t="s">
        <v>158</v>
      </c>
      <c r="D600" s="24" t="s">
        <v>57</v>
      </c>
      <c r="E600" s="25">
        <v>3284.27</v>
      </c>
      <c r="F600" s="25">
        <v>2180.15</v>
      </c>
      <c r="G600" s="26">
        <f>T_Ventes[[#This Row],[CA HT]]-T_Ventes[[#This Row],[Coût achat HT]]</f>
        <v>1104.1199999999999</v>
      </c>
      <c r="H600" s="27">
        <f>DATE(YEAR(T_Ventes[[#This Row],[Date facture]]),MONTH(T_Ventes[[#This Row],[Date facture]]),1)</f>
        <v>46054</v>
      </c>
      <c r="I600" s="28">
        <f>YEAR(T_Ventes[[#This Row],[Date facture]])</f>
        <v>2026</v>
      </c>
    </row>
    <row r="601" spans="1:9" x14ac:dyDescent="0.3">
      <c r="A601" s="23">
        <v>46079</v>
      </c>
      <c r="B601" s="24" t="s">
        <v>696</v>
      </c>
      <c r="C601" s="24" t="s">
        <v>128</v>
      </c>
      <c r="D601" s="24" t="s">
        <v>71</v>
      </c>
      <c r="E601" s="25">
        <v>2254.7800000000002</v>
      </c>
      <c r="F601" s="25">
        <v>1304.1600000000001</v>
      </c>
      <c r="G601" s="26">
        <f>T_Ventes[[#This Row],[CA HT]]-T_Ventes[[#This Row],[Coût achat HT]]</f>
        <v>950.62000000000012</v>
      </c>
      <c r="H601" s="27">
        <f>DATE(YEAR(T_Ventes[[#This Row],[Date facture]]),MONTH(T_Ventes[[#This Row],[Date facture]]),1)</f>
        <v>46054</v>
      </c>
      <c r="I601" s="28">
        <f>YEAR(T_Ventes[[#This Row],[Date facture]])</f>
        <v>2026</v>
      </c>
    </row>
    <row r="602" spans="1:9" x14ac:dyDescent="0.3">
      <c r="A602" s="23">
        <v>46079</v>
      </c>
      <c r="B602" s="24" t="s">
        <v>697</v>
      </c>
      <c r="C602" s="24" t="s">
        <v>175</v>
      </c>
      <c r="D602" s="24" t="s">
        <v>59</v>
      </c>
      <c r="E602" s="25">
        <v>2745.12</v>
      </c>
      <c r="F602" s="25">
        <v>1066.8699999999999</v>
      </c>
      <c r="G602" s="26">
        <f>T_Ventes[[#This Row],[CA HT]]-T_Ventes[[#This Row],[Coût achat HT]]</f>
        <v>1678.25</v>
      </c>
      <c r="H602" s="27">
        <f>DATE(YEAR(T_Ventes[[#This Row],[Date facture]]),MONTH(T_Ventes[[#This Row],[Date facture]]),1)</f>
        <v>46054</v>
      </c>
      <c r="I602" s="28">
        <f>YEAR(T_Ventes[[#This Row],[Date facture]])</f>
        <v>2026</v>
      </c>
    </row>
    <row r="603" spans="1:9" x14ac:dyDescent="0.3">
      <c r="A603" s="23">
        <v>46080</v>
      </c>
      <c r="B603" s="24" t="s">
        <v>698</v>
      </c>
      <c r="C603" s="24" t="s">
        <v>56</v>
      </c>
      <c r="D603" s="24" t="s">
        <v>64</v>
      </c>
      <c r="E603" s="25">
        <v>1863.69</v>
      </c>
      <c r="F603" s="25">
        <v>1403.91</v>
      </c>
      <c r="G603" s="26">
        <f>T_Ventes[[#This Row],[CA HT]]-T_Ventes[[#This Row],[Coût achat HT]]</f>
        <v>459.78</v>
      </c>
      <c r="H603" s="27">
        <f>DATE(YEAR(T_Ventes[[#This Row],[Date facture]]),MONTH(T_Ventes[[#This Row],[Date facture]]),1)</f>
        <v>46054</v>
      </c>
      <c r="I603" s="28">
        <f>YEAR(T_Ventes[[#This Row],[Date facture]])</f>
        <v>2026</v>
      </c>
    </row>
    <row r="604" spans="1:9" x14ac:dyDescent="0.3">
      <c r="A604" s="23">
        <v>46080</v>
      </c>
      <c r="B604" s="24" t="s">
        <v>699</v>
      </c>
      <c r="C604" s="24" t="s">
        <v>80</v>
      </c>
      <c r="D604" s="24" t="s">
        <v>64</v>
      </c>
      <c r="E604" s="25">
        <v>3731.95</v>
      </c>
      <c r="F604" s="25">
        <v>2870.13</v>
      </c>
      <c r="G604" s="26">
        <f>T_Ventes[[#This Row],[CA HT]]-T_Ventes[[#This Row],[Coût achat HT]]</f>
        <v>861.81999999999971</v>
      </c>
      <c r="H604" s="27">
        <f>DATE(YEAR(T_Ventes[[#This Row],[Date facture]]),MONTH(T_Ventes[[#This Row],[Date facture]]),1)</f>
        <v>46054</v>
      </c>
      <c r="I604" s="28">
        <f>YEAR(T_Ventes[[#This Row],[Date facture]])</f>
        <v>2026</v>
      </c>
    </row>
    <row r="605" spans="1:9" x14ac:dyDescent="0.3">
      <c r="A605" s="23">
        <v>46081</v>
      </c>
      <c r="B605" s="24" t="s">
        <v>700</v>
      </c>
      <c r="C605" s="24" t="s">
        <v>78</v>
      </c>
      <c r="D605" s="24" t="s">
        <v>64</v>
      </c>
      <c r="E605" s="25">
        <v>3999.21</v>
      </c>
      <c r="F605" s="25">
        <v>3059</v>
      </c>
      <c r="G605" s="26">
        <f>T_Ventes[[#This Row],[CA HT]]-T_Ventes[[#This Row],[Coût achat HT]]</f>
        <v>940.21</v>
      </c>
      <c r="H605" s="27">
        <f>DATE(YEAR(T_Ventes[[#This Row],[Date facture]]),MONTH(T_Ventes[[#This Row],[Date facture]]),1)</f>
        <v>46054</v>
      </c>
      <c r="I605" s="28">
        <f>YEAR(T_Ventes[[#This Row],[Date facture]])</f>
        <v>2026</v>
      </c>
    </row>
    <row r="606" spans="1:9" x14ac:dyDescent="0.3">
      <c r="A606" s="23">
        <v>46082</v>
      </c>
      <c r="B606" s="24" t="s">
        <v>701</v>
      </c>
      <c r="C606" s="24" t="s">
        <v>162</v>
      </c>
      <c r="D606" s="24" t="s">
        <v>71</v>
      </c>
      <c r="E606" s="25">
        <v>2885.06</v>
      </c>
      <c r="F606" s="25">
        <v>1654.5</v>
      </c>
      <c r="G606" s="26">
        <f>T_Ventes[[#This Row],[CA HT]]-T_Ventes[[#This Row],[Coût achat HT]]</f>
        <v>1230.56</v>
      </c>
      <c r="H606" s="27">
        <f>DATE(YEAR(T_Ventes[[#This Row],[Date facture]]),MONTH(T_Ventes[[#This Row],[Date facture]]),1)</f>
        <v>46082</v>
      </c>
      <c r="I606" s="28">
        <f>YEAR(T_Ventes[[#This Row],[Date facture]])</f>
        <v>2026</v>
      </c>
    </row>
    <row r="607" spans="1:9" x14ac:dyDescent="0.3">
      <c r="A607" s="23">
        <v>46084</v>
      </c>
      <c r="B607" s="24" t="s">
        <v>702</v>
      </c>
      <c r="C607" s="24" t="s">
        <v>66</v>
      </c>
      <c r="D607" s="24" t="s">
        <v>64</v>
      </c>
      <c r="E607" s="25">
        <v>5013.5200000000004</v>
      </c>
      <c r="F607" s="25">
        <v>3792.68</v>
      </c>
      <c r="G607" s="26">
        <f>T_Ventes[[#This Row],[CA HT]]-T_Ventes[[#This Row],[Coût achat HT]]</f>
        <v>1220.8400000000006</v>
      </c>
      <c r="H607" s="27">
        <f>DATE(YEAR(T_Ventes[[#This Row],[Date facture]]),MONTH(T_Ventes[[#This Row],[Date facture]]),1)</f>
        <v>46082</v>
      </c>
      <c r="I607" s="28">
        <f>YEAR(T_Ventes[[#This Row],[Date facture]])</f>
        <v>2026</v>
      </c>
    </row>
    <row r="608" spans="1:9" x14ac:dyDescent="0.3">
      <c r="A608" s="23">
        <v>46084</v>
      </c>
      <c r="B608" s="24" t="s">
        <v>703</v>
      </c>
      <c r="C608" s="24" t="s">
        <v>56</v>
      </c>
      <c r="D608" s="24" t="s">
        <v>59</v>
      </c>
      <c r="E608" s="25">
        <v>5507.98</v>
      </c>
      <c r="F608" s="25">
        <v>2039.54</v>
      </c>
      <c r="G608" s="26">
        <f>T_Ventes[[#This Row],[CA HT]]-T_Ventes[[#This Row],[Coût achat HT]]</f>
        <v>3468.4399999999996</v>
      </c>
      <c r="H608" s="27">
        <f>DATE(YEAR(T_Ventes[[#This Row],[Date facture]]),MONTH(T_Ventes[[#This Row],[Date facture]]),1)</f>
        <v>46082</v>
      </c>
      <c r="I608" s="28">
        <f>YEAR(T_Ventes[[#This Row],[Date facture]])</f>
        <v>2026</v>
      </c>
    </row>
    <row r="609" spans="1:9" x14ac:dyDescent="0.3">
      <c r="A609" s="23">
        <v>46085</v>
      </c>
      <c r="B609" s="24" t="s">
        <v>704</v>
      </c>
      <c r="C609" s="24" t="s">
        <v>152</v>
      </c>
      <c r="D609" s="24" t="s">
        <v>64</v>
      </c>
      <c r="E609" s="25">
        <v>5231.5200000000004</v>
      </c>
      <c r="F609" s="25">
        <v>4019.88</v>
      </c>
      <c r="G609" s="26">
        <f>T_Ventes[[#This Row],[CA HT]]-T_Ventes[[#This Row],[Coût achat HT]]</f>
        <v>1211.6400000000003</v>
      </c>
      <c r="H609" s="27">
        <f>DATE(YEAR(T_Ventes[[#This Row],[Date facture]]),MONTH(T_Ventes[[#This Row],[Date facture]]),1)</f>
        <v>46082</v>
      </c>
      <c r="I609" s="28">
        <f>YEAR(T_Ventes[[#This Row],[Date facture]])</f>
        <v>2026</v>
      </c>
    </row>
    <row r="610" spans="1:9" x14ac:dyDescent="0.3">
      <c r="A610" s="23">
        <v>46086</v>
      </c>
      <c r="B610" s="24" t="s">
        <v>705</v>
      </c>
      <c r="C610" s="24" t="s">
        <v>80</v>
      </c>
      <c r="D610" s="24" t="s">
        <v>64</v>
      </c>
      <c r="E610" s="25">
        <v>1858.91</v>
      </c>
      <c r="F610" s="25">
        <v>1392.67</v>
      </c>
      <c r="G610" s="26">
        <f>T_Ventes[[#This Row],[CA HT]]-T_Ventes[[#This Row],[Coût achat HT]]</f>
        <v>466.24</v>
      </c>
      <c r="H610" s="27">
        <f>DATE(YEAR(T_Ventes[[#This Row],[Date facture]]),MONTH(T_Ventes[[#This Row],[Date facture]]),1)</f>
        <v>46082</v>
      </c>
      <c r="I610" s="28">
        <f>YEAR(T_Ventes[[#This Row],[Date facture]])</f>
        <v>2026</v>
      </c>
    </row>
    <row r="611" spans="1:9" x14ac:dyDescent="0.3">
      <c r="A611" s="23">
        <v>46086</v>
      </c>
      <c r="B611" s="24" t="s">
        <v>706</v>
      </c>
      <c r="C611" s="24" t="s">
        <v>80</v>
      </c>
      <c r="D611" s="24" t="s">
        <v>57</v>
      </c>
      <c r="E611" s="25">
        <v>3108.26</v>
      </c>
      <c r="F611" s="25">
        <v>2071.12</v>
      </c>
      <c r="G611" s="26">
        <f>T_Ventes[[#This Row],[CA HT]]-T_Ventes[[#This Row],[Coût achat HT]]</f>
        <v>1037.1400000000003</v>
      </c>
      <c r="H611" s="27">
        <f>DATE(YEAR(T_Ventes[[#This Row],[Date facture]]),MONTH(T_Ventes[[#This Row],[Date facture]]),1)</f>
        <v>46082</v>
      </c>
      <c r="I611" s="28">
        <f>YEAR(T_Ventes[[#This Row],[Date facture]])</f>
        <v>2026</v>
      </c>
    </row>
    <row r="612" spans="1:9" x14ac:dyDescent="0.3">
      <c r="A612" s="23">
        <v>46087</v>
      </c>
      <c r="B612" s="24" t="s">
        <v>707</v>
      </c>
      <c r="C612" s="24" t="s">
        <v>76</v>
      </c>
      <c r="D612" s="24" t="s">
        <v>64</v>
      </c>
      <c r="E612" s="25">
        <v>6289.57</v>
      </c>
      <c r="F612" s="25">
        <v>4821.3999999999996</v>
      </c>
      <c r="G612" s="26">
        <f>T_Ventes[[#This Row],[CA HT]]-T_Ventes[[#This Row],[Coût achat HT]]</f>
        <v>1468.17</v>
      </c>
      <c r="H612" s="27">
        <f>DATE(YEAR(T_Ventes[[#This Row],[Date facture]]),MONTH(T_Ventes[[#This Row],[Date facture]]),1)</f>
        <v>46082</v>
      </c>
      <c r="I612" s="28">
        <f>YEAR(T_Ventes[[#This Row],[Date facture]])</f>
        <v>2026</v>
      </c>
    </row>
    <row r="613" spans="1:9" x14ac:dyDescent="0.3">
      <c r="A613" s="23">
        <v>46087</v>
      </c>
      <c r="B613" s="24" t="s">
        <v>708</v>
      </c>
      <c r="C613" s="24" t="s">
        <v>108</v>
      </c>
      <c r="D613" s="24" t="s">
        <v>64</v>
      </c>
      <c r="E613" s="25">
        <v>1228.23</v>
      </c>
      <c r="F613" s="25">
        <v>919.51</v>
      </c>
      <c r="G613" s="26">
        <f>T_Ventes[[#This Row],[CA HT]]-T_Ventes[[#This Row],[Coût achat HT]]</f>
        <v>308.72000000000003</v>
      </c>
      <c r="H613" s="27">
        <f>DATE(YEAR(T_Ventes[[#This Row],[Date facture]]),MONTH(T_Ventes[[#This Row],[Date facture]]),1)</f>
        <v>46082</v>
      </c>
      <c r="I613" s="28">
        <f>YEAR(T_Ventes[[#This Row],[Date facture]])</f>
        <v>2026</v>
      </c>
    </row>
    <row r="614" spans="1:9" x14ac:dyDescent="0.3">
      <c r="A614" s="23">
        <v>46087</v>
      </c>
      <c r="B614" s="24" t="s">
        <v>709</v>
      </c>
      <c r="C614" s="24" t="s">
        <v>105</v>
      </c>
      <c r="D614" s="24" t="s">
        <v>64</v>
      </c>
      <c r="E614" s="25">
        <v>5967.79</v>
      </c>
      <c r="F614" s="25">
        <v>4501.8599999999997</v>
      </c>
      <c r="G614" s="26">
        <f>T_Ventes[[#This Row],[CA HT]]-T_Ventes[[#This Row],[Coût achat HT]]</f>
        <v>1465.9300000000003</v>
      </c>
      <c r="H614" s="27">
        <f>DATE(YEAR(T_Ventes[[#This Row],[Date facture]]),MONTH(T_Ventes[[#This Row],[Date facture]]),1)</f>
        <v>46082</v>
      </c>
      <c r="I614" s="28">
        <f>YEAR(T_Ventes[[#This Row],[Date facture]])</f>
        <v>2026</v>
      </c>
    </row>
    <row r="615" spans="1:9" x14ac:dyDescent="0.3">
      <c r="A615" s="23">
        <v>46087</v>
      </c>
      <c r="B615" s="24" t="s">
        <v>710</v>
      </c>
      <c r="C615" s="24" t="s">
        <v>56</v>
      </c>
      <c r="D615" s="24" t="s">
        <v>71</v>
      </c>
      <c r="E615" s="25">
        <v>4333.1400000000003</v>
      </c>
      <c r="F615" s="25">
        <v>2526.87</v>
      </c>
      <c r="G615" s="26">
        <f>T_Ventes[[#This Row],[CA HT]]-T_Ventes[[#This Row],[Coût achat HT]]</f>
        <v>1806.2700000000004</v>
      </c>
      <c r="H615" s="27">
        <f>DATE(YEAR(T_Ventes[[#This Row],[Date facture]]),MONTH(T_Ventes[[#This Row],[Date facture]]),1)</f>
        <v>46082</v>
      </c>
      <c r="I615" s="28">
        <f>YEAR(T_Ventes[[#This Row],[Date facture]])</f>
        <v>2026</v>
      </c>
    </row>
    <row r="616" spans="1:9" x14ac:dyDescent="0.3">
      <c r="A616" s="23">
        <v>46087</v>
      </c>
      <c r="B616" s="24" t="s">
        <v>711</v>
      </c>
      <c r="C616" s="24" t="s">
        <v>158</v>
      </c>
      <c r="D616" s="24" t="s">
        <v>71</v>
      </c>
      <c r="E616" s="25">
        <v>4200.8</v>
      </c>
      <c r="F616" s="25">
        <v>2401.13</v>
      </c>
      <c r="G616" s="26">
        <f>T_Ventes[[#This Row],[CA HT]]-T_Ventes[[#This Row],[Coût achat HT]]</f>
        <v>1799.67</v>
      </c>
      <c r="H616" s="27">
        <f>DATE(YEAR(T_Ventes[[#This Row],[Date facture]]),MONTH(T_Ventes[[#This Row],[Date facture]]),1)</f>
        <v>46082</v>
      </c>
      <c r="I616" s="28">
        <f>YEAR(T_Ventes[[#This Row],[Date facture]])</f>
        <v>2026</v>
      </c>
    </row>
    <row r="617" spans="1:9" x14ac:dyDescent="0.3">
      <c r="A617" s="23">
        <v>46087</v>
      </c>
      <c r="B617" s="24" t="s">
        <v>712</v>
      </c>
      <c r="C617" s="24" t="s">
        <v>66</v>
      </c>
      <c r="D617" s="24" t="s">
        <v>59</v>
      </c>
      <c r="E617" s="25">
        <v>8201.7199999999993</v>
      </c>
      <c r="F617" s="25">
        <v>2888.74</v>
      </c>
      <c r="G617" s="26">
        <f>T_Ventes[[#This Row],[CA HT]]-T_Ventes[[#This Row],[Coût achat HT]]</f>
        <v>5312.98</v>
      </c>
      <c r="H617" s="27">
        <f>DATE(YEAR(T_Ventes[[#This Row],[Date facture]]),MONTH(T_Ventes[[#This Row],[Date facture]]),1)</f>
        <v>46082</v>
      </c>
      <c r="I617" s="28">
        <f>YEAR(T_Ventes[[#This Row],[Date facture]])</f>
        <v>2026</v>
      </c>
    </row>
    <row r="618" spans="1:9" x14ac:dyDescent="0.3">
      <c r="A618" s="23">
        <v>46089</v>
      </c>
      <c r="B618" s="24" t="s">
        <v>713</v>
      </c>
      <c r="C618" s="24" t="s">
        <v>76</v>
      </c>
      <c r="D618" s="24" t="s">
        <v>64</v>
      </c>
      <c r="E618" s="25">
        <v>1251.5999999999999</v>
      </c>
      <c r="F618" s="25">
        <v>944.39</v>
      </c>
      <c r="G618" s="26">
        <f>T_Ventes[[#This Row],[CA HT]]-T_Ventes[[#This Row],[Coût achat HT]]</f>
        <v>307.20999999999992</v>
      </c>
      <c r="H618" s="27">
        <f>DATE(YEAR(T_Ventes[[#This Row],[Date facture]]),MONTH(T_Ventes[[#This Row],[Date facture]]),1)</f>
        <v>46082</v>
      </c>
      <c r="I618" s="28">
        <f>YEAR(T_Ventes[[#This Row],[Date facture]])</f>
        <v>2026</v>
      </c>
    </row>
    <row r="619" spans="1:9" x14ac:dyDescent="0.3">
      <c r="A619" s="23">
        <v>46089</v>
      </c>
      <c r="B619" s="24" t="s">
        <v>714</v>
      </c>
      <c r="C619" s="24" t="s">
        <v>354</v>
      </c>
      <c r="D619" s="24" t="s">
        <v>64</v>
      </c>
      <c r="E619" s="25">
        <v>5398.75</v>
      </c>
      <c r="F619" s="25">
        <v>4109.75</v>
      </c>
      <c r="G619" s="26">
        <f>T_Ventes[[#This Row],[CA HT]]-T_Ventes[[#This Row],[Coût achat HT]]</f>
        <v>1289</v>
      </c>
      <c r="H619" s="27">
        <f>DATE(YEAR(T_Ventes[[#This Row],[Date facture]]),MONTH(T_Ventes[[#This Row],[Date facture]]),1)</f>
        <v>46082</v>
      </c>
      <c r="I619" s="28">
        <f>YEAR(T_Ventes[[#This Row],[Date facture]])</f>
        <v>2026</v>
      </c>
    </row>
    <row r="620" spans="1:9" x14ac:dyDescent="0.3">
      <c r="A620" s="23">
        <v>46089</v>
      </c>
      <c r="B620" s="24" t="s">
        <v>715</v>
      </c>
      <c r="C620" s="24" t="s">
        <v>66</v>
      </c>
      <c r="D620" s="24" t="s">
        <v>57</v>
      </c>
      <c r="E620" s="25">
        <v>2302.7199999999998</v>
      </c>
      <c r="F620" s="25">
        <v>1506.57</v>
      </c>
      <c r="G620" s="26">
        <f>T_Ventes[[#This Row],[CA HT]]-T_Ventes[[#This Row],[Coût achat HT]]</f>
        <v>796.14999999999986</v>
      </c>
      <c r="H620" s="27">
        <f>DATE(YEAR(T_Ventes[[#This Row],[Date facture]]),MONTH(T_Ventes[[#This Row],[Date facture]]),1)</f>
        <v>46082</v>
      </c>
      <c r="I620" s="28">
        <f>YEAR(T_Ventes[[#This Row],[Date facture]])</f>
        <v>2026</v>
      </c>
    </row>
    <row r="621" spans="1:9" x14ac:dyDescent="0.3">
      <c r="A621" s="23">
        <v>46090</v>
      </c>
      <c r="B621" s="24" t="s">
        <v>716</v>
      </c>
      <c r="C621" s="24" t="s">
        <v>80</v>
      </c>
      <c r="D621" s="24" t="s">
        <v>64</v>
      </c>
      <c r="E621" s="25">
        <v>5702.4</v>
      </c>
      <c r="F621" s="25">
        <v>4395.9799999999996</v>
      </c>
      <c r="G621" s="26">
        <f>T_Ventes[[#This Row],[CA HT]]-T_Ventes[[#This Row],[Coût achat HT]]</f>
        <v>1306.42</v>
      </c>
      <c r="H621" s="27">
        <f>DATE(YEAR(T_Ventes[[#This Row],[Date facture]]),MONTH(T_Ventes[[#This Row],[Date facture]]),1)</f>
        <v>46082</v>
      </c>
      <c r="I621" s="28">
        <f>YEAR(T_Ventes[[#This Row],[Date facture]])</f>
        <v>2026</v>
      </c>
    </row>
    <row r="622" spans="1:9" x14ac:dyDescent="0.3">
      <c r="A622" s="23">
        <v>46090</v>
      </c>
      <c r="B622" s="24" t="s">
        <v>717</v>
      </c>
      <c r="C622" s="24" t="s">
        <v>208</v>
      </c>
      <c r="D622" s="24" t="s">
        <v>57</v>
      </c>
      <c r="E622" s="25">
        <v>5775.62</v>
      </c>
      <c r="F622" s="25">
        <v>3855.53</v>
      </c>
      <c r="G622" s="26">
        <f>T_Ventes[[#This Row],[CA HT]]-T_Ventes[[#This Row],[Coût achat HT]]</f>
        <v>1920.0899999999997</v>
      </c>
      <c r="H622" s="27">
        <f>DATE(YEAR(T_Ventes[[#This Row],[Date facture]]),MONTH(T_Ventes[[#This Row],[Date facture]]),1)</f>
        <v>46082</v>
      </c>
      <c r="I622" s="28">
        <f>YEAR(T_Ventes[[#This Row],[Date facture]])</f>
        <v>2026</v>
      </c>
    </row>
    <row r="623" spans="1:9" x14ac:dyDescent="0.3">
      <c r="A623" s="23">
        <v>46091</v>
      </c>
      <c r="B623" s="24" t="s">
        <v>718</v>
      </c>
      <c r="C623" s="24" t="s">
        <v>105</v>
      </c>
      <c r="D623" s="24" t="s">
        <v>71</v>
      </c>
      <c r="E623" s="25">
        <v>3394.74</v>
      </c>
      <c r="F623" s="25">
        <v>2020.64</v>
      </c>
      <c r="G623" s="26">
        <f>T_Ventes[[#This Row],[CA HT]]-T_Ventes[[#This Row],[Coût achat HT]]</f>
        <v>1374.0999999999997</v>
      </c>
      <c r="H623" s="27">
        <f>DATE(YEAR(T_Ventes[[#This Row],[Date facture]]),MONTH(T_Ventes[[#This Row],[Date facture]]),1)</f>
        <v>46082</v>
      </c>
      <c r="I623" s="28">
        <f>YEAR(T_Ventes[[#This Row],[Date facture]])</f>
        <v>2026</v>
      </c>
    </row>
    <row r="624" spans="1:9" x14ac:dyDescent="0.3">
      <c r="A624" s="23">
        <v>46092</v>
      </c>
      <c r="B624" s="24" t="s">
        <v>719</v>
      </c>
      <c r="C624" s="24" t="s">
        <v>247</v>
      </c>
      <c r="D624" s="24" t="s">
        <v>57</v>
      </c>
      <c r="E624" s="25">
        <v>5889.98</v>
      </c>
      <c r="F624" s="25">
        <v>3888.88</v>
      </c>
      <c r="G624" s="26">
        <f>T_Ventes[[#This Row],[CA HT]]-T_Ventes[[#This Row],[Coût achat HT]]</f>
        <v>2001.0999999999995</v>
      </c>
      <c r="H624" s="27">
        <f>DATE(YEAR(T_Ventes[[#This Row],[Date facture]]),MONTH(T_Ventes[[#This Row],[Date facture]]),1)</f>
        <v>46082</v>
      </c>
      <c r="I624" s="28">
        <f>YEAR(T_Ventes[[#This Row],[Date facture]])</f>
        <v>2026</v>
      </c>
    </row>
    <row r="625" spans="1:9" x14ac:dyDescent="0.3">
      <c r="A625" s="23">
        <v>46092</v>
      </c>
      <c r="B625" s="24" t="s">
        <v>720</v>
      </c>
      <c r="C625" s="24" t="s">
        <v>175</v>
      </c>
      <c r="D625" s="24" t="s">
        <v>71</v>
      </c>
      <c r="E625" s="25">
        <v>2963.42</v>
      </c>
      <c r="F625" s="25">
        <v>1726.59</v>
      </c>
      <c r="G625" s="26">
        <f>T_Ventes[[#This Row],[CA HT]]-T_Ventes[[#This Row],[Coût achat HT]]</f>
        <v>1236.8300000000002</v>
      </c>
      <c r="H625" s="27">
        <f>DATE(YEAR(T_Ventes[[#This Row],[Date facture]]),MONTH(T_Ventes[[#This Row],[Date facture]]),1)</f>
        <v>46082</v>
      </c>
      <c r="I625" s="28">
        <f>YEAR(T_Ventes[[#This Row],[Date facture]])</f>
        <v>2026</v>
      </c>
    </row>
    <row r="626" spans="1:9" x14ac:dyDescent="0.3">
      <c r="A626" s="23">
        <v>46093</v>
      </c>
      <c r="B626" s="24" t="s">
        <v>721</v>
      </c>
      <c r="C626" s="24" t="s">
        <v>162</v>
      </c>
      <c r="D626" s="24" t="s">
        <v>64</v>
      </c>
      <c r="E626" s="25">
        <v>5626.25</v>
      </c>
      <c r="F626" s="25">
        <v>4234.71</v>
      </c>
      <c r="G626" s="26">
        <f>T_Ventes[[#This Row],[CA HT]]-T_Ventes[[#This Row],[Coût achat HT]]</f>
        <v>1391.54</v>
      </c>
      <c r="H626" s="27">
        <f>DATE(YEAR(T_Ventes[[#This Row],[Date facture]]),MONTH(T_Ventes[[#This Row],[Date facture]]),1)</f>
        <v>46082</v>
      </c>
      <c r="I626" s="28">
        <f>YEAR(T_Ventes[[#This Row],[Date facture]])</f>
        <v>2026</v>
      </c>
    </row>
    <row r="627" spans="1:9" x14ac:dyDescent="0.3">
      <c r="A627" s="23">
        <v>46094</v>
      </c>
      <c r="B627" s="24" t="s">
        <v>722</v>
      </c>
      <c r="C627" s="24" t="s">
        <v>56</v>
      </c>
      <c r="D627" s="24" t="s">
        <v>64</v>
      </c>
      <c r="E627" s="25">
        <v>5537.43</v>
      </c>
      <c r="F627" s="25">
        <v>4183.7700000000004</v>
      </c>
      <c r="G627" s="26">
        <f>T_Ventes[[#This Row],[CA HT]]-T_Ventes[[#This Row],[Coût achat HT]]</f>
        <v>1353.6599999999999</v>
      </c>
      <c r="H627" s="27">
        <f>DATE(YEAR(T_Ventes[[#This Row],[Date facture]]),MONTH(T_Ventes[[#This Row],[Date facture]]),1)</f>
        <v>46082</v>
      </c>
      <c r="I627" s="28">
        <f>YEAR(T_Ventes[[#This Row],[Date facture]])</f>
        <v>2026</v>
      </c>
    </row>
    <row r="628" spans="1:9" x14ac:dyDescent="0.3">
      <c r="A628" s="23">
        <v>46094</v>
      </c>
      <c r="B628" s="24" t="s">
        <v>723</v>
      </c>
      <c r="C628" s="24" t="s">
        <v>56</v>
      </c>
      <c r="D628" s="24" t="s">
        <v>57</v>
      </c>
      <c r="E628" s="25">
        <v>3569.02</v>
      </c>
      <c r="F628" s="25">
        <v>2363.34</v>
      </c>
      <c r="G628" s="26">
        <f>T_Ventes[[#This Row],[CA HT]]-T_Ventes[[#This Row],[Coût achat HT]]</f>
        <v>1205.6799999999998</v>
      </c>
      <c r="H628" s="27">
        <f>DATE(YEAR(T_Ventes[[#This Row],[Date facture]]),MONTH(T_Ventes[[#This Row],[Date facture]]),1)</f>
        <v>46082</v>
      </c>
      <c r="I628" s="28">
        <f>YEAR(T_Ventes[[#This Row],[Date facture]])</f>
        <v>2026</v>
      </c>
    </row>
    <row r="629" spans="1:9" x14ac:dyDescent="0.3">
      <c r="A629" s="23">
        <v>46095</v>
      </c>
      <c r="B629" s="24" t="s">
        <v>724</v>
      </c>
      <c r="C629" s="24" t="s">
        <v>115</v>
      </c>
      <c r="D629" s="24" t="s">
        <v>64</v>
      </c>
      <c r="E629" s="25">
        <v>3634.81</v>
      </c>
      <c r="F629" s="25">
        <v>2781.84</v>
      </c>
      <c r="G629" s="26">
        <f>T_Ventes[[#This Row],[CA HT]]-T_Ventes[[#This Row],[Coût achat HT]]</f>
        <v>852.9699999999998</v>
      </c>
      <c r="H629" s="27">
        <f>DATE(YEAR(T_Ventes[[#This Row],[Date facture]]),MONTH(T_Ventes[[#This Row],[Date facture]]),1)</f>
        <v>46082</v>
      </c>
      <c r="I629" s="28">
        <f>YEAR(T_Ventes[[#This Row],[Date facture]])</f>
        <v>2026</v>
      </c>
    </row>
    <row r="630" spans="1:9" x14ac:dyDescent="0.3">
      <c r="A630" s="23">
        <v>46095</v>
      </c>
      <c r="B630" s="24" t="s">
        <v>725</v>
      </c>
      <c r="C630" s="24" t="s">
        <v>68</v>
      </c>
      <c r="D630" s="24" t="s">
        <v>64</v>
      </c>
      <c r="E630" s="25">
        <v>4114.84</v>
      </c>
      <c r="F630" s="25">
        <v>3100.23</v>
      </c>
      <c r="G630" s="26">
        <f>T_Ventes[[#This Row],[CA HT]]-T_Ventes[[#This Row],[Coût achat HT]]</f>
        <v>1014.6100000000001</v>
      </c>
      <c r="H630" s="27">
        <f>DATE(YEAR(T_Ventes[[#This Row],[Date facture]]),MONTH(T_Ventes[[#This Row],[Date facture]]),1)</f>
        <v>46082</v>
      </c>
      <c r="I630" s="28">
        <f>YEAR(T_Ventes[[#This Row],[Date facture]])</f>
        <v>2026</v>
      </c>
    </row>
    <row r="631" spans="1:9" x14ac:dyDescent="0.3">
      <c r="A631" s="23">
        <v>46095</v>
      </c>
      <c r="B631" s="24" t="s">
        <v>726</v>
      </c>
      <c r="C631" s="24" t="s">
        <v>56</v>
      </c>
      <c r="D631" s="24" t="s">
        <v>64</v>
      </c>
      <c r="E631" s="25">
        <v>5107.32</v>
      </c>
      <c r="F631" s="25">
        <v>3873.95</v>
      </c>
      <c r="G631" s="26">
        <f>T_Ventes[[#This Row],[CA HT]]-T_Ventes[[#This Row],[Coût achat HT]]</f>
        <v>1233.3699999999999</v>
      </c>
      <c r="H631" s="27">
        <f>DATE(YEAR(T_Ventes[[#This Row],[Date facture]]),MONTH(T_Ventes[[#This Row],[Date facture]]),1)</f>
        <v>46082</v>
      </c>
      <c r="I631" s="28">
        <f>YEAR(T_Ventes[[#This Row],[Date facture]])</f>
        <v>2026</v>
      </c>
    </row>
    <row r="632" spans="1:9" x14ac:dyDescent="0.3">
      <c r="A632" s="23">
        <v>46095</v>
      </c>
      <c r="B632" s="24" t="s">
        <v>727</v>
      </c>
      <c r="C632" s="24" t="s">
        <v>128</v>
      </c>
      <c r="D632" s="24" t="s">
        <v>59</v>
      </c>
      <c r="E632" s="25">
        <v>2069.5700000000002</v>
      </c>
      <c r="F632" s="25">
        <v>841.29</v>
      </c>
      <c r="G632" s="26">
        <f>T_Ventes[[#This Row],[CA HT]]-T_Ventes[[#This Row],[Coût achat HT]]</f>
        <v>1228.2800000000002</v>
      </c>
      <c r="H632" s="27">
        <f>DATE(YEAR(T_Ventes[[#This Row],[Date facture]]),MONTH(T_Ventes[[#This Row],[Date facture]]),1)</f>
        <v>46082</v>
      </c>
      <c r="I632" s="28">
        <f>YEAR(T_Ventes[[#This Row],[Date facture]])</f>
        <v>2026</v>
      </c>
    </row>
    <row r="633" spans="1:9" x14ac:dyDescent="0.3">
      <c r="A633" s="23">
        <v>46096</v>
      </c>
      <c r="B633" s="24" t="s">
        <v>728</v>
      </c>
      <c r="C633" s="24" t="s">
        <v>108</v>
      </c>
      <c r="D633" s="24" t="s">
        <v>64</v>
      </c>
      <c r="E633" s="25">
        <v>5982.94</v>
      </c>
      <c r="F633" s="25">
        <v>4532.2700000000004</v>
      </c>
      <c r="G633" s="26">
        <f>T_Ventes[[#This Row],[CA HT]]-T_Ventes[[#This Row],[Coût achat HT]]</f>
        <v>1450.6699999999992</v>
      </c>
      <c r="H633" s="27">
        <f>DATE(YEAR(T_Ventes[[#This Row],[Date facture]]),MONTH(T_Ventes[[#This Row],[Date facture]]),1)</f>
        <v>46082</v>
      </c>
      <c r="I633" s="28">
        <f>YEAR(T_Ventes[[#This Row],[Date facture]])</f>
        <v>2026</v>
      </c>
    </row>
    <row r="634" spans="1:9" x14ac:dyDescent="0.3">
      <c r="A634" s="23">
        <v>46096</v>
      </c>
      <c r="B634" s="24" t="s">
        <v>729</v>
      </c>
      <c r="C634" s="24" t="s">
        <v>208</v>
      </c>
      <c r="D634" s="24" t="s">
        <v>57</v>
      </c>
      <c r="E634" s="25">
        <v>5694.41</v>
      </c>
      <c r="F634" s="25">
        <v>3718.11</v>
      </c>
      <c r="G634" s="26">
        <f>T_Ventes[[#This Row],[CA HT]]-T_Ventes[[#This Row],[Coût achat HT]]</f>
        <v>1976.2999999999997</v>
      </c>
      <c r="H634" s="27">
        <f>DATE(YEAR(T_Ventes[[#This Row],[Date facture]]),MONTH(T_Ventes[[#This Row],[Date facture]]),1)</f>
        <v>46082</v>
      </c>
      <c r="I634" s="28">
        <f>YEAR(T_Ventes[[#This Row],[Date facture]])</f>
        <v>2026</v>
      </c>
    </row>
    <row r="635" spans="1:9" x14ac:dyDescent="0.3">
      <c r="A635" s="23">
        <v>46096</v>
      </c>
      <c r="B635" s="24" t="s">
        <v>730</v>
      </c>
      <c r="C635" s="24" t="s">
        <v>115</v>
      </c>
      <c r="D635" s="24" t="s">
        <v>57</v>
      </c>
      <c r="E635" s="25">
        <v>5949.94</v>
      </c>
      <c r="F635" s="25">
        <v>3893.12</v>
      </c>
      <c r="G635" s="26">
        <f>T_Ventes[[#This Row],[CA HT]]-T_Ventes[[#This Row],[Coût achat HT]]</f>
        <v>2056.8199999999997</v>
      </c>
      <c r="H635" s="27">
        <f>DATE(YEAR(T_Ventes[[#This Row],[Date facture]]),MONTH(T_Ventes[[#This Row],[Date facture]]),1)</f>
        <v>46082</v>
      </c>
      <c r="I635" s="28">
        <f>YEAR(T_Ventes[[#This Row],[Date facture]])</f>
        <v>2026</v>
      </c>
    </row>
    <row r="636" spans="1:9" x14ac:dyDescent="0.3">
      <c r="A636" s="23">
        <v>46096</v>
      </c>
      <c r="B636" s="24" t="s">
        <v>731</v>
      </c>
      <c r="C636" s="24" t="s">
        <v>128</v>
      </c>
      <c r="D636" s="24" t="s">
        <v>59</v>
      </c>
      <c r="E636" s="25">
        <v>2830.5</v>
      </c>
      <c r="F636" s="25">
        <v>1126.79</v>
      </c>
      <c r="G636" s="26">
        <f>T_Ventes[[#This Row],[CA HT]]-T_Ventes[[#This Row],[Coût achat HT]]</f>
        <v>1703.71</v>
      </c>
      <c r="H636" s="27">
        <f>DATE(YEAR(T_Ventes[[#This Row],[Date facture]]),MONTH(T_Ventes[[#This Row],[Date facture]]),1)</f>
        <v>46082</v>
      </c>
      <c r="I636" s="28">
        <f>YEAR(T_Ventes[[#This Row],[Date facture]])</f>
        <v>2026</v>
      </c>
    </row>
    <row r="637" spans="1:9" x14ac:dyDescent="0.3">
      <c r="A637" s="23">
        <v>46096</v>
      </c>
      <c r="B637" s="24" t="s">
        <v>732</v>
      </c>
      <c r="C637" s="24" t="s">
        <v>96</v>
      </c>
      <c r="D637" s="24" t="s">
        <v>59</v>
      </c>
      <c r="E637" s="25">
        <v>5297.78</v>
      </c>
      <c r="F637" s="25">
        <v>2048.59</v>
      </c>
      <c r="G637" s="26">
        <f>T_Ventes[[#This Row],[CA HT]]-T_Ventes[[#This Row],[Coût achat HT]]</f>
        <v>3249.1899999999996</v>
      </c>
      <c r="H637" s="27">
        <f>DATE(YEAR(T_Ventes[[#This Row],[Date facture]]),MONTH(T_Ventes[[#This Row],[Date facture]]),1)</f>
        <v>46082</v>
      </c>
      <c r="I637" s="28">
        <f>YEAR(T_Ventes[[#This Row],[Date facture]])</f>
        <v>2026</v>
      </c>
    </row>
    <row r="638" spans="1:9" x14ac:dyDescent="0.3">
      <c r="A638" s="23">
        <v>46097</v>
      </c>
      <c r="B638" s="24" t="s">
        <v>733</v>
      </c>
      <c r="C638" s="24" t="s">
        <v>80</v>
      </c>
      <c r="D638" s="24" t="s">
        <v>64</v>
      </c>
      <c r="E638" s="25">
        <v>2645.92</v>
      </c>
      <c r="F638" s="25">
        <v>2010.85</v>
      </c>
      <c r="G638" s="26">
        <f>T_Ventes[[#This Row],[CA HT]]-T_Ventes[[#This Row],[Coût achat HT]]</f>
        <v>635.07000000000016</v>
      </c>
      <c r="H638" s="27">
        <f>DATE(YEAR(T_Ventes[[#This Row],[Date facture]]),MONTH(T_Ventes[[#This Row],[Date facture]]),1)</f>
        <v>46082</v>
      </c>
      <c r="I638" s="28">
        <f>YEAR(T_Ventes[[#This Row],[Date facture]])</f>
        <v>2026</v>
      </c>
    </row>
    <row r="639" spans="1:9" x14ac:dyDescent="0.3">
      <c r="A639" s="23">
        <v>46097</v>
      </c>
      <c r="B639" s="24" t="s">
        <v>734</v>
      </c>
      <c r="C639" s="24" t="s">
        <v>66</v>
      </c>
      <c r="D639" s="24" t="s">
        <v>64</v>
      </c>
      <c r="E639" s="25">
        <v>2476.42</v>
      </c>
      <c r="F639" s="25">
        <v>1867.77</v>
      </c>
      <c r="G639" s="26">
        <f>T_Ventes[[#This Row],[CA HT]]-T_Ventes[[#This Row],[Coût achat HT]]</f>
        <v>608.65000000000009</v>
      </c>
      <c r="H639" s="27">
        <f>DATE(YEAR(T_Ventes[[#This Row],[Date facture]]),MONTH(T_Ventes[[#This Row],[Date facture]]),1)</f>
        <v>46082</v>
      </c>
      <c r="I639" s="28">
        <f>YEAR(T_Ventes[[#This Row],[Date facture]])</f>
        <v>2026</v>
      </c>
    </row>
    <row r="640" spans="1:9" x14ac:dyDescent="0.3">
      <c r="A640" s="23">
        <v>46097</v>
      </c>
      <c r="B640" s="24" t="s">
        <v>735</v>
      </c>
      <c r="C640" s="24" t="s">
        <v>56</v>
      </c>
      <c r="D640" s="24" t="s">
        <v>71</v>
      </c>
      <c r="E640" s="25">
        <v>1667.84</v>
      </c>
      <c r="F640" s="25">
        <v>983.89</v>
      </c>
      <c r="G640" s="26">
        <f>T_Ventes[[#This Row],[CA HT]]-T_Ventes[[#This Row],[Coût achat HT]]</f>
        <v>683.94999999999993</v>
      </c>
      <c r="H640" s="27">
        <f>DATE(YEAR(T_Ventes[[#This Row],[Date facture]]),MONTH(T_Ventes[[#This Row],[Date facture]]),1)</f>
        <v>46082</v>
      </c>
      <c r="I640" s="28">
        <f>YEAR(T_Ventes[[#This Row],[Date facture]])</f>
        <v>2026</v>
      </c>
    </row>
    <row r="641" spans="1:9" x14ac:dyDescent="0.3">
      <c r="A641" s="23">
        <v>46099</v>
      </c>
      <c r="B641" s="24" t="s">
        <v>736</v>
      </c>
      <c r="C641" s="24" t="s">
        <v>80</v>
      </c>
      <c r="D641" s="24" t="s">
        <v>57</v>
      </c>
      <c r="E641" s="25">
        <v>3056.38</v>
      </c>
      <c r="F641" s="25">
        <v>2023.58</v>
      </c>
      <c r="G641" s="26">
        <f>T_Ventes[[#This Row],[CA HT]]-T_Ventes[[#This Row],[Coût achat HT]]</f>
        <v>1032.8000000000002</v>
      </c>
      <c r="H641" s="27">
        <f>DATE(YEAR(T_Ventes[[#This Row],[Date facture]]),MONTH(T_Ventes[[#This Row],[Date facture]]),1)</f>
        <v>46082</v>
      </c>
      <c r="I641" s="28">
        <f>YEAR(T_Ventes[[#This Row],[Date facture]])</f>
        <v>2026</v>
      </c>
    </row>
    <row r="642" spans="1:9" x14ac:dyDescent="0.3">
      <c r="A642" s="23">
        <v>46100</v>
      </c>
      <c r="B642" s="24" t="s">
        <v>737</v>
      </c>
      <c r="C642" s="24" t="s">
        <v>56</v>
      </c>
      <c r="D642" s="24" t="s">
        <v>64</v>
      </c>
      <c r="E642" s="25">
        <v>3345.6</v>
      </c>
      <c r="F642" s="25">
        <v>2551.96</v>
      </c>
      <c r="G642" s="26">
        <f>T_Ventes[[#This Row],[CA HT]]-T_Ventes[[#This Row],[Coût achat HT]]</f>
        <v>793.63999999999987</v>
      </c>
      <c r="H642" s="27">
        <f>DATE(YEAR(T_Ventes[[#This Row],[Date facture]]),MONTH(T_Ventes[[#This Row],[Date facture]]),1)</f>
        <v>46082</v>
      </c>
      <c r="I642" s="28">
        <f>YEAR(T_Ventes[[#This Row],[Date facture]])</f>
        <v>2026</v>
      </c>
    </row>
    <row r="643" spans="1:9" x14ac:dyDescent="0.3">
      <c r="A643" s="23">
        <v>46100</v>
      </c>
      <c r="B643" s="24" t="s">
        <v>738</v>
      </c>
      <c r="C643" s="24" t="s">
        <v>162</v>
      </c>
      <c r="D643" s="24" t="s">
        <v>57</v>
      </c>
      <c r="E643" s="25">
        <v>5960.02</v>
      </c>
      <c r="F643" s="25">
        <v>3847.78</v>
      </c>
      <c r="G643" s="26">
        <f>T_Ventes[[#This Row],[CA HT]]-T_Ventes[[#This Row],[Coût achat HT]]</f>
        <v>2112.2400000000002</v>
      </c>
      <c r="H643" s="27">
        <f>DATE(YEAR(T_Ventes[[#This Row],[Date facture]]),MONTH(T_Ventes[[#This Row],[Date facture]]),1)</f>
        <v>46082</v>
      </c>
      <c r="I643" s="28">
        <f>YEAR(T_Ventes[[#This Row],[Date facture]])</f>
        <v>2026</v>
      </c>
    </row>
    <row r="644" spans="1:9" x14ac:dyDescent="0.3">
      <c r="A644" s="23">
        <v>46103</v>
      </c>
      <c r="B644" s="24" t="s">
        <v>739</v>
      </c>
      <c r="C644" s="24" t="s">
        <v>80</v>
      </c>
      <c r="D644" s="24" t="s">
        <v>57</v>
      </c>
      <c r="E644" s="25">
        <v>4152.84</v>
      </c>
      <c r="F644" s="25">
        <v>2722.12</v>
      </c>
      <c r="G644" s="26">
        <f>T_Ventes[[#This Row],[CA HT]]-T_Ventes[[#This Row],[Coût achat HT]]</f>
        <v>1430.7200000000003</v>
      </c>
      <c r="H644" s="27">
        <f>DATE(YEAR(T_Ventes[[#This Row],[Date facture]]),MONTH(T_Ventes[[#This Row],[Date facture]]),1)</f>
        <v>46082</v>
      </c>
      <c r="I644" s="28">
        <f>YEAR(T_Ventes[[#This Row],[Date facture]])</f>
        <v>2026</v>
      </c>
    </row>
    <row r="645" spans="1:9" x14ac:dyDescent="0.3">
      <c r="A645" s="23">
        <v>46103</v>
      </c>
      <c r="B645" s="24" t="s">
        <v>740</v>
      </c>
      <c r="C645" s="24" t="s">
        <v>410</v>
      </c>
      <c r="D645" s="24" t="s">
        <v>57</v>
      </c>
      <c r="E645" s="25">
        <v>3297.93</v>
      </c>
      <c r="F645" s="25">
        <v>2231.15</v>
      </c>
      <c r="G645" s="26">
        <f>T_Ventes[[#This Row],[CA HT]]-T_Ventes[[#This Row],[Coût achat HT]]</f>
        <v>1066.7799999999997</v>
      </c>
      <c r="H645" s="27">
        <f>DATE(YEAR(T_Ventes[[#This Row],[Date facture]]),MONTH(T_Ventes[[#This Row],[Date facture]]),1)</f>
        <v>46082</v>
      </c>
      <c r="I645" s="28">
        <f>YEAR(T_Ventes[[#This Row],[Date facture]])</f>
        <v>2026</v>
      </c>
    </row>
    <row r="646" spans="1:9" x14ac:dyDescent="0.3">
      <c r="A646" s="23">
        <v>46103</v>
      </c>
      <c r="B646" s="24" t="s">
        <v>741</v>
      </c>
      <c r="C646" s="24" t="s">
        <v>80</v>
      </c>
      <c r="D646" s="24" t="s">
        <v>71</v>
      </c>
      <c r="E646" s="25">
        <v>5818.96</v>
      </c>
      <c r="F646" s="25">
        <v>3357.8</v>
      </c>
      <c r="G646" s="26">
        <f>T_Ventes[[#This Row],[CA HT]]-T_Ventes[[#This Row],[Coût achat HT]]</f>
        <v>2461.16</v>
      </c>
      <c r="H646" s="27">
        <f>DATE(YEAR(T_Ventes[[#This Row],[Date facture]]),MONTH(T_Ventes[[#This Row],[Date facture]]),1)</f>
        <v>46082</v>
      </c>
      <c r="I646" s="28">
        <f>YEAR(T_Ventes[[#This Row],[Date facture]])</f>
        <v>2026</v>
      </c>
    </row>
    <row r="647" spans="1:9" x14ac:dyDescent="0.3">
      <c r="A647" s="23">
        <v>46103</v>
      </c>
      <c r="B647" s="24" t="s">
        <v>742</v>
      </c>
      <c r="C647" s="24" t="s">
        <v>56</v>
      </c>
      <c r="D647" s="24" t="s">
        <v>71</v>
      </c>
      <c r="E647" s="25">
        <v>6300.74</v>
      </c>
      <c r="F647" s="25">
        <v>3756.23</v>
      </c>
      <c r="G647" s="26">
        <f>T_Ventes[[#This Row],[CA HT]]-T_Ventes[[#This Row],[Coût achat HT]]</f>
        <v>2544.5099999999998</v>
      </c>
      <c r="H647" s="27">
        <f>DATE(YEAR(T_Ventes[[#This Row],[Date facture]]),MONTH(T_Ventes[[#This Row],[Date facture]]),1)</f>
        <v>46082</v>
      </c>
      <c r="I647" s="28">
        <f>YEAR(T_Ventes[[#This Row],[Date facture]])</f>
        <v>2026</v>
      </c>
    </row>
    <row r="648" spans="1:9" x14ac:dyDescent="0.3">
      <c r="A648" s="23">
        <v>46104</v>
      </c>
      <c r="B648" s="24" t="s">
        <v>743</v>
      </c>
      <c r="C648" s="24" t="s">
        <v>84</v>
      </c>
      <c r="D648" s="24" t="s">
        <v>64</v>
      </c>
      <c r="E648" s="25">
        <v>1496.06</v>
      </c>
      <c r="F648" s="25">
        <v>1137.3699999999999</v>
      </c>
      <c r="G648" s="26">
        <f>T_Ventes[[#This Row],[CA HT]]-T_Ventes[[#This Row],[Coût achat HT]]</f>
        <v>358.69000000000005</v>
      </c>
      <c r="H648" s="27">
        <f>DATE(YEAR(T_Ventes[[#This Row],[Date facture]]),MONTH(T_Ventes[[#This Row],[Date facture]]),1)</f>
        <v>46082</v>
      </c>
      <c r="I648" s="28">
        <f>YEAR(T_Ventes[[#This Row],[Date facture]])</f>
        <v>2026</v>
      </c>
    </row>
    <row r="649" spans="1:9" x14ac:dyDescent="0.3">
      <c r="A649" s="23">
        <v>46104</v>
      </c>
      <c r="B649" s="24" t="s">
        <v>744</v>
      </c>
      <c r="C649" s="24" t="s">
        <v>56</v>
      </c>
      <c r="D649" s="24" t="s">
        <v>64</v>
      </c>
      <c r="E649" s="25">
        <v>3592.59</v>
      </c>
      <c r="F649" s="25">
        <v>2692.85</v>
      </c>
      <c r="G649" s="26">
        <f>T_Ventes[[#This Row],[CA HT]]-T_Ventes[[#This Row],[Coût achat HT]]</f>
        <v>899.74000000000024</v>
      </c>
      <c r="H649" s="27">
        <f>DATE(YEAR(T_Ventes[[#This Row],[Date facture]]),MONTH(T_Ventes[[#This Row],[Date facture]]),1)</f>
        <v>46082</v>
      </c>
      <c r="I649" s="28">
        <f>YEAR(T_Ventes[[#This Row],[Date facture]])</f>
        <v>2026</v>
      </c>
    </row>
    <row r="650" spans="1:9" x14ac:dyDescent="0.3">
      <c r="A650" s="23">
        <v>46104</v>
      </c>
      <c r="B650" s="24" t="s">
        <v>745</v>
      </c>
      <c r="C650" s="24" t="s">
        <v>56</v>
      </c>
      <c r="D650" s="24" t="s">
        <v>57</v>
      </c>
      <c r="E650" s="25">
        <v>1291.2</v>
      </c>
      <c r="F650" s="25">
        <v>834.27</v>
      </c>
      <c r="G650" s="26">
        <f>T_Ventes[[#This Row],[CA HT]]-T_Ventes[[#This Row],[Coût achat HT]]</f>
        <v>456.93000000000006</v>
      </c>
      <c r="H650" s="27">
        <f>DATE(YEAR(T_Ventes[[#This Row],[Date facture]]),MONTH(T_Ventes[[#This Row],[Date facture]]),1)</f>
        <v>46082</v>
      </c>
      <c r="I650" s="28">
        <f>YEAR(T_Ventes[[#This Row],[Date facture]])</f>
        <v>2026</v>
      </c>
    </row>
    <row r="651" spans="1:9" x14ac:dyDescent="0.3">
      <c r="A651" s="23">
        <v>46104</v>
      </c>
      <c r="B651" s="24" t="s">
        <v>746</v>
      </c>
      <c r="C651" s="24" t="s">
        <v>105</v>
      </c>
      <c r="D651" s="24" t="s">
        <v>57</v>
      </c>
      <c r="E651" s="25">
        <v>3022.32</v>
      </c>
      <c r="F651" s="25">
        <v>1947.62</v>
      </c>
      <c r="G651" s="26">
        <f>T_Ventes[[#This Row],[CA HT]]-T_Ventes[[#This Row],[Coût achat HT]]</f>
        <v>1074.7000000000003</v>
      </c>
      <c r="H651" s="27">
        <f>DATE(YEAR(T_Ventes[[#This Row],[Date facture]]),MONTH(T_Ventes[[#This Row],[Date facture]]),1)</f>
        <v>46082</v>
      </c>
      <c r="I651" s="28">
        <f>YEAR(T_Ventes[[#This Row],[Date facture]])</f>
        <v>2026</v>
      </c>
    </row>
    <row r="652" spans="1:9" x14ac:dyDescent="0.3">
      <c r="A652" s="23">
        <v>46105</v>
      </c>
      <c r="B652" s="24" t="s">
        <v>747</v>
      </c>
      <c r="C652" s="24" t="s">
        <v>73</v>
      </c>
      <c r="D652" s="24" t="s">
        <v>64</v>
      </c>
      <c r="E652" s="25">
        <v>2047.55</v>
      </c>
      <c r="F652" s="25">
        <v>1542.38</v>
      </c>
      <c r="G652" s="26">
        <f>T_Ventes[[#This Row],[CA HT]]-T_Ventes[[#This Row],[Coût achat HT]]</f>
        <v>505.16999999999985</v>
      </c>
      <c r="H652" s="27">
        <f>DATE(YEAR(T_Ventes[[#This Row],[Date facture]]),MONTH(T_Ventes[[#This Row],[Date facture]]),1)</f>
        <v>46082</v>
      </c>
      <c r="I652" s="28">
        <f>YEAR(T_Ventes[[#This Row],[Date facture]])</f>
        <v>2026</v>
      </c>
    </row>
    <row r="653" spans="1:9" x14ac:dyDescent="0.3">
      <c r="A653" s="23">
        <v>46105</v>
      </c>
      <c r="B653" s="24" t="s">
        <v>748</v>
      </c>
      <c r="C653" s="24" t="s">
        <v>56</v>
      </c>
      <c r="D653" s="24" t="s">
        <v>71</v>
      </c>
      <c r="E653" s="25">
        <v>2483.96</v>
      </c>
      <c r="F653" s="25">
        <v>1492.94</v>
      </c>
      <c r="G653" s="26">
        <f>T_Ventes[[#This Row],[CA HT]]-T_Ventes[[#This Row],[Coût achat HT]]</f>
        <v>991.02</v>
      </c>
      <c r="H653" s="27">
        <f>DATE(YEAR(T_Ventes[[#This Row],[Date facture]]),MONTH(T_Ventes[[#This Row],[Date facture]]),1)</f>
        <v>46082</v>
      </c>
      <c r="I653" s="28">
        <f>YEAR(T_Ventes[[#This Row],[Date facture]])</f>
        <v>2026</v>
      </c>
    </row>
    <row r="654" spans="1:9" x14ac:dyDescent="0.3">
      <c r="A654" s="23">
        <v>46106</v>
      </c>
      <c r="B654" s="24" t="s">
        <v>749</v>
      </c>
      <c r="C654" s="24" t="s">
        <v>80</v>
      </c>
      <c r="D654" s="24" t="s">
        <v>64</v>
      </c>
      <c r="E654" s="25">
        <v>2599.37</v>
      </c>
      <c r="F654" s="25">
        <v>1993.04</v>
      </c>
      <c r="G654" s="26">
        <f>T_Ventes[[#This Row],[CA HT]]-T_Ventes[[#This Row],[Coût achat HT]]</f>
        <v>606.32999999999993</v>
      </c>
      <c r="H654" s="27">
        <f>DATE(YEAR(T_Ventes[[#This Row],[Date facture]]),MONTH(T_Ventes[[#This Row],[Date facture]]),1)</f>
        <v>46082</v>
      </c>
      <c r="I654" s="28">
        <f>YEAR(T_Ventes[[#This Row],[Date facture]])</f>
        <v>2026</v>
      </c>
    </row>
    <row r="655" spans="1:9" x14ac:dyDescent="0.3">
      <c r="A655" s="23">
        <v>46106</v>
      </c>
      <c r="B655" s="24" t="s">
        <v>750</v>
      </c>
      <c r="C655" s="24" t="s">
        <v>115</v>
      </c>
      <c r="D655" s="24" t="s">
        <v>71</v>
      </c>
      <c r="E655" s="25">
        <v>5878.82</v>
      </c>
      <c r="F655" s="25">
        <v>3421.62</v>
      </c>
      <c r="G655" s="26">
        <f>T_Ventes[[#This Row],[CA HT]]-T_Ventes[[#This Row],[Coût achat HT]]</f>
        <v>2457.1999999999998</v>
      </c>
      <c r="H655" s="27">
        <f>DATE(YEAR(T_Ventes[[#This Row],[Date facture]]),MONTH(T_Ventes[[#This Row],[Date facture]]),1)</f>
        <v>46082</v>
      </c>
      <c r="I655" s="28">
        <f>YEAR(T_Ventes[[#This Row],[Date facture]])</f>
        <v>2026</v>
      </c>
    </row>
    <row r="656" spans="1:9" x14ac:dyDescent="0.3">
      <c r="A656" s="23">
        <v>46106</v>
      </c>
      <c r="B656" s="24" t="s">
        <v>751</v>
      </c>
      <c r="C656" s="24" t="s">
        <v>108</v>
      </c>
      <c r="D656" s="24" t="s">
        <v>71</v>
      </c>
      <c r="E656" s="25">
        <v>1704.62</v>
      </c>
      <c r="F656" s="25">
        <v>1034.3900000000001</v>
      </c>
      <c r="G656" s="26">
        <f>T_Ventes[[#This Row],[CA HT]]-T_Ventes[[#This Row],[Coût achat HT]]</f>
        <v>670.22999999999979</v>
      </c>
      <c r="H656" s="27">
        <f>DATE(YEAR(T_Ventes[[#This Row],[Date facture]]),MONTH(T_Ventes[[#This Row],[Date facture]]),1)</f>
        <v>46082</v>
      </c>
      <c r="I656" s="28">
        <f>YEAR(T_Ventes[[#This Row],[Date facture]])</f>
        <v>2026</v>
      </c>
    </row>
    <row r="657" spans="1:9" x14ac:dyDescent="0.3">
      <c r="A657" s="23">
        <v>46107</v>
      </c>
      <c r="B657" s="24" t="s">
        <v>752</v>
      </c>
      <c r="C657" s="24" t="s">
        <v>73</v>
      </c>
      <c r="D657" s="24" t="s">
        <v>64</v>
      </c>
      <c r="E657" s="25">
        <v>3813.07</v>
      </c>
      <c r="F657" s="25">
        <v>2913.86</v>
      </c>
      <c r="G657" s="26">
        <f>T_Ventes[[#This Row],[CA HT]]-T_Ventes[[#This Row],[Coût achat HT]]</f>
        <v>899.21</v>
      </c>
      <c r="H657" s="27">
        <f>DATE(YEAR(T_Ventes[[#This Row],[Date facture]]),MONTH(T_Ventes[[#This Row],[Date facture]]),1)</f>
        <v>46082</v>
      </c>
      <c r="I657" s="28">
        <f>YEAR(T_Ventes[[#This Row],[Date facture]])</f>
        <v>2026</v>
      </c>
    </row>
    <row r="658" spans="1:9" x14ac:dyDescent="0.3">
      <c r="A658" s="23">
        <v>46115</v>
      </c>
      <c r="B658" s="24" t="s">
        <v>753</v>
      </c>
      <c r="C658" s="24" t="s">
        <v>166</v>
      </c>
      <c r="D658" s="24" t="s">
        <v>57</v>
      </c>
      <c r="E658" s="25">
        <v>5445.8</v>
      </c>
      <c r="F658" s="25">
        <v>3657.91</v>
      </c>
      <c r="G658" s="26">
        <f>T_Ventes[[#This Row],[CA HT]]-T_Ventes[[#This Row],[Coût achat HT]]</f>
        <v>1787.8900000000003</v>
      </c>
      <c r="H658" s="27">
        <f>DATE(YEAR(T_Ventes[[#This Row],[Date facture]]),MONTH(T_Ventes[[#This Row],[Date facture]]),1)</f>
        <v>46113</v>
      </c>
      <c r="I658" s="28">
        <f>YEAR(T_Ventes[[#This Row],[Date facture]])</f>
        <v>2026</v>
      </c>
    </row>
    <row r="659" spans="1:9" x14ac:dyDescent="0.3">
      <c r="A659" s="23">
        <v>46115</v>
      </c>
      <c r="B659" s="24" t="s">
        <v>754</v>
      </c>
      <c r="C659" s="24" t="s">
        <v>66</v>
      </c>
      <c r="D659" s="24" t="s">
        <v>57</v>
      </c>
      <c r="E659" s="25">
        <v>5794.37</v>
      </c>
      <c r="F659" s="25">
        <v>3815.52</v>
      </c>
      <c r="G659" s="26">
        <f>T_Ventes[[#This Row],[CA HT]]-T_Ventes[[#This Row],[Coût achat HT]]</f>
        <v>1978.85</v>
      </c>
      <c r="H659" s="27">
        <f>DATE(YEAR(T_Ventes[[#This Row],[Date facture]]),MONTH(T_Ventes[[#This Row],[Date facture]]),1)</f>
        <v>46113</v>
      </c>
      <c r="I659" s="28">
        <f>YEAR(T_Ventes[[#This Row],[Date facture]])</f>
        <v>2026</v>
      </c>
    </row>
    <row r="660" spans="1:9" x14ac:dyDescent="0.3">
      <c r="A660" s="23">
        <v>46115</v>
      </c>
      <c r="B660" s="24" t="s">
        <v>755</v>
      </c>
      <c r="C660" s="24" t="s">
        <v>103</v>
      </c>
      <c r="D660" s="24" t="s">
        <v>57</v>
      </c>
      <c r="E660" s="25">
        <v>1920.23</v>
      </c>
      <c r="F660" s="25">
        <v>1282.9100000000001</v>
      </c>
      <c r="G660" s="26">
        <f>T_Ventes[[#This Row],[CA HT]]-T_Ventes[[#This Row],[Coût achat HT]]</f>
        <v>637.31999999999994</v>
      </c>
      <c r="H660" s="27">
        <f>DATE(YEAR(T_Ventes[[#This Row],[Date facture]]),MONTH(T_Ventes[[#This Row],[Date facture]]),1)</f>
        <v>46113</v>
      </c>
      <c r="I660" s="28">
        <f>YEAR(T_Ventes[[#This Row],[Date facture]])</f>
        <v>2026</v>
      </c>
    </row>
    <row r="661" spans="1:9" x14ac:dyDescent="0.3">
      <c r="A661" s="23">
        <v>46115</v>
      </c>
      <c r="B661" s="24" t="s">
        <v>756</v>
      </c>
      <c r="C661" s="24" t="s">
        <v>56</v>
      </c>
      <c r="D661" s="24" t="s">
        <v>71</v>
      </c>
      <c r="E661" s="25">
        <v>3304.07</v>
      </c>
      <c r="F661" s="25">
        <v>2003.6</v>
      </c>
      <c r="G661" s="26">
        <f>T_Ventes[[#This Row],[CA HT]]-T_Ventes[[#This Row],[Coût achat HT]]</f>
        <v>1300.4700000000003</v>
      </c>
      <c r="H661" s="27">
        <f>DATE(YEAR(T_Ventes[[#This Row],[Date facture]]),MONTH(T_Ventes[[#This Row],[Date facture]]),1)</f>
        <v>46113</v>
      </c>
      <c r="I661" s="28">
        <f>YEAR(T_Ventes[[#This Row],[Date facture]])</f>
        <v>2026</v>
      </c>
    </row>
    <row r="662" spans="1:9" x14ac:dyDescent="0.3">
      <c r="A662" s="23">
        <v>46115</v>
      </c>
      <c r="B662" s="24" t="s">
        <v>757</v>
      </c>
      <c r="C662" s="24" t="s">
        <v>173</v>
      </c>
      <c r="D662" s="24" t="s">
        <v>59</v>
      </c>
      <c r="E662" s="25">
        <v>3641.08</v>
      </c>
      <c r="F662" s="25">
        <v>1477.84</v>
      </c>
      <c r="G662" s="26">
        <f>T_Ventes[[#This Row],[CA HT]]-T_Ventes[[#This Row],[Coût achat HT]]</f>
        <v>2163.2399999999998</v>
      </c>
      <c r="H662" s="27">
        <f>DATE(YEAR(T_Ventes[[#This Row],[Date facture]]),MONTH(T_Ventes[[#This Row],[Date facture]]),1)</f>
        <v>46113</v>
      </c>
      <c r="I662" s="28">
        <f>YEAR(T_Ventes[[#This Row],[Date facture]])</f>
        <v>2026</v>
      </c>
    </row>
    <row r="663" spans="1:9" x14ac:dyDescent="0.3">
      <c r="A663" s="23">
        <v>46116</v>
      </c>
      <c r="B663" s="24" t="s">
        <v>758</v>
      </c>
      <c r="C663" s="24" t="s">
        <v>66</v>
      </c>
      <c r="D663" s="24" t="s">
        <v>64</v>
      </c>
      <c r="E663" s="25">
        <v>5981.9</v>
      </c>
      <c r="F663" s="25">
        <v>4480.87</v>
      </c>
      <c r="G663" s="26">
        <f>T_Ventes[[#This Row],[CA HT]]-T_Ventes[[#This Row],[Coût achat HT]]</f>
        <v>1501.0299999999997</v>
      </c>
      <c r="H663" s="27">
        <f>DATE(YEAR(T_Ventes[[#This Row],[Date facture]]),MONTH(T_Ventes[[#This Row],[Date facture]]),1)</f>
        <v>46113</v>
      </c>
      <c r="I663" s="28">
        <f>YEAR(T_Ventes[[#This Row],[Date facture]])</f>
        <v>2026</v>
      </c>
    </row>
    <row r="664" spans="1:9" x14ac:dyDescent="0.3">
      <c r="A664" s="23">
        <v>46116</v>
      </c>
      <c r="B664" s="24" t="s">
        <v>759</v>
      </c>
      <c r="C664" s="24" t="s">
        <v>56</v>
      </c>
      <c r="D664" s="24" t="s">
        <v>57</v>
      </c>
      <c r="E664" s="25">
        <v>6816.74</v>
      </c>
      <c r="F664" s="25">
        <v>4402.7299999999996</v>
      </c>
      <c r="G664" s="26">
        <f>T_Ventes[[#This Row],[CA HT]]-T_Ventes[[#This Row],[Coût achat HT]]</f>
        <v>2414.0100000000002</v>
      </c>
      <c r="H664" s="27">
        <f>DATE(YEAR(T_Ventes[[#This Row],[Date facture]]),MONTH(T_Ventes[[#This Row],[Date facture]]),1)</f>
        <v>46113</v>
      </c>
      <c r="I664" s="28">
        <f>YEAR(T_Ventes[[#This Row],[Date facture]])</f>
        <v>2026</v>
      </c>
    </row>
    <row r="665" spans="1:9" x14ac:dyDescent="0.3">
      <c r="A665" s="23">
        <v>46116</v>
      </c>
      <c r="B665" s="24" t="s">
        <v>760</v>
      </c>
      <c r="C665" s="24" t="s">
        <v>115</v>
      </c>
      <c r="D665" s="24" t="s">
        <v>59</v>
      </c>
      <c r="E665" s="25">
        <v>6225.3</v>
      </c>
      <c r="F665" s="25">
        <v>2264.06</v>
      </c>
      <c r="G665" s="26">
        <f>T_Ventes[[#This Row],[CA HT]]-T_Ventes[[#This Row],[Coût achat HT]]</f>
        <v>3961.2400000000002</v>
      </c>
      <c r="H665" s="27">
        <f>DATE(YEAR(T_Ventes[[#This Row],[Date facture]]),MONTH(T_Ventes[[#This Row],[Date facture]]),1)</f>
        <v>46113</v>
      </c>
      <c r="I665" s="28">
        <f>YEAR(T_Ventes[[#This Row],[Date facture]])</f>
        <v>2026</v>
      </c>
    </row>
    <row r="666" spans="1:9" x14ac:dyDescent="0.3">
      <c r="A666" s="23">
        <v>46117</v>
      </c>
      <c r="B666" s="24" t="s">
        <v>761</v>
      </c>
      <c r="C666" s="24" t="s">
        <v>152</v>
      </c>
      <c r="D666" s="24" t="s">
        <v>64</v>
      </c>
      <c r="E666" s="25">
        <v>1856.86</v>
      </c>
      <c r="F666" s="25">
        <v>1402.26</v>
      </c>
      <c r="G666" s="26">
        <f>T_Ventes[[#This Row],[CA HT]]-T_Ventes[[#This Row],[Coût achat HT]]</f>
        <v>454.59999999999991</v>
      </c>
      <c r="H666" s="27">
        <f>DATE(YEAR(T_Ventes[[#This Row],[Date facture]]),MONTH(T_Ventes[[#This Row],[Date facture]]),1)</f>
        <v>46113</v>
      </c>
      <c r="I666" s="28">
        <f>YEAR(T_Ventes[[#This Row],[Date facture]])</f>
        <v>2026</v>
      </c>
    </row>
    <row r="667" spans="1:9" x14ac:dyDescent="0.3">
      <c r="A667" s="23">
        <v>46117</v>
      </c>
      <c r="B667" s="24" t="s">
        <v>762</v>
      </c>
      <c r="C667" s="24" t="s">
        <v>177</v>
      </c>
      <c r="D667" s="24" t="s">
        <v>71</v>
      </c>
      <c r="E667" s="25">
        <v>1384.22</v>
      </c>
      <c r="F667" s="25">
        <v>837.49</v>
      </c>
      <c r="G667" s="26">
        <f>T_Ventes[[#This Row],[CA HT]]-T_Ventes[[#This Row],[Coût achat HT]]</f>
        <v>546.73</v>
      </c>
      <c r="H667" s="27">
        <f>DATE(YEAR(T_Ventes[[#This Row],[Date facture]]),MONTH(T_Ventes[[#This Row],[Date facture]]),1)</f>
        <v>46113</v>
      </c>
      <c r="I667" s="28">
        <f>YEAR(T_Ventes[[#This Row],[Date facture]])</f>
        <v>2026</v>
      </c>
    </row>
    <row r="668" spans="1:9" x14ac:dyDescent="0.3">
      <c r="A668" s="23">
        <v>46117</v>
      </c>
      <c r="B668" s="24" t="s">
        <v>763</v>
      </c>
      <c r="C668" s="24" t="s">
        <v>158</v>
      </c>
      <c r="D668" s="24" t="s">
        <v>71</v>
      </c>
      <c r="E668" s="25">
        <v>4031.52</v>
      </c>
      <c r="F668" s="25">
        <v>2379.12</v>
      </c>
      <c r="G668" s="26">
        <f>T_Ventes[[#This Row],[CA HT]]-T_Ventes[[#This Row],[Coût achat HT]]</f>
        <v>1652.4</v>
      </c>
      <c r="H668" s="27">
        <f>DATE(YEAR(T_Ventes[[#This Row],[Date facture]]),MONTH(T_Ventes[[#This Row],[Date facture]]),1)</f>
        <v>46113</v>
      </c>
      <c r="I668" s="28">
        <f>YEAR(T_Ventes[[#This Row],[Date facture]])</f>
        <v>2026</v>
      </c>
    </row>
    <row r="669" spans="1:9" x14ac:dyDescent="0.3">
      <c r="A669" s="23">
        <v>46118</v>
      </c>
      <c r="B669" s="24" t="s">
        <v>764</v>
      </c>
      <c r="C669" s="24" t="s">
        <v>66</v>
      </c>
      <c r="D669" s="24" t="s">
        <v>64</v>
      </c>
      <c r="E669" s="25">
        <v>4240.09</v>
      </c>
      <c r="F669" s="25">
        <v>3173.95</v>
      </c>
      <c r="G669" s="26">
        <f>T_Ventes[[#This Row],[CA HT]]-T_Ventes[[#This Row],[Coût achat HT]]</f>
        <v>1066.1400000000003</v>
      </c>
      <c r="H669" s="27">
        <f>DATE(YEAR(T_Ventes[[#This Row],[Date facture]]),MONTH(T_Ventes[[#This Row],[Date facture]]),1)</f>
        <v>46113</v>
      </c>
      <c r="I669" s="28">
        <f>YEAR(T_Ventes[[#This Row],[Date facture]])</f>
        <v>2026</v>
      </c>
    </row>
    <row r="670" spans="1:9" x14ac:dyDescent="0.3">
      <c r="A670" s="23">
        <v>46118</v>
      </c>
      <c r="B670" s="24" t="s">
        <v>765</v>
      </c>
      <c r="C670" s="24" t="s">
        <v>56</v>
      </c>
      <c r="D670" s="24" t="s">
        <v>64</v>
      </c>
      <c r="E670" s="25">
        <v>4520.09</v>
      </c>
      <c r="F670" s="25">
        <v>3443.54</v>
      </c>
      <c r="G670" s="26">
        <f>T_Ventes[[#This Row],[CA HT]]-T_Ventes[[#This Row],[Coût achat HT]]</f>
        <v>1076.5500000000002</v>
      </c>
      <c r="H670" s="27">
        <f>DATE(YEAR(T_Ventes[[#This Row],[Date facture]]),MONTH(T_Ventes[[#This Row],[Date facture]]),1)</f>
        <v>46113</v>
      </c>
      <c r="I670" s="28">
        <f>YEAR(T_Ventes[[#This Row],[Date facture]])</f>
        <v>2026</v>
      </c>
    </row>
    <row r="671" spans="1:9" x14ac:dyDescent="0.3">
      <c r="A671" s="23">
        <v>46120</v>
      </c>
      <c r="B671" s="24" t="s">
        <v>766</v>
      </c>
      <c r="C671" s="24" t="s">
        <v>61</v>
      </c>
      <c r="D671" s="24" t="s">
        <v>57</v>
      </c>
      <c r="E671" s="25">
        <v>4457.3599999999997</v>
      </c>
      <c r="F671" s="25">
        <v>3004.85</v>
      </c>
      <c r="G671" s="26">
        <f>T_Ventes[[#This Row],[CA HT]]-T_Ventes[[#This Row],[Coût achat HT]]</f>
        <v>1452.5099999999998</v>
      </c>
      <c r="H671" s="27">
        <f>DATE(YEAR(T_Ventes[[#This Row],[Date facture]]),MONTH(T_Ventes[[#This Row],[Date facture]]),1)</f>
        <v>46113</v>
      </c>
      <c r="I671" s="28">
        <f>YEAR(T_Ventes[[#This Row],[Date facture]])</f>
        <v>2026</v>
      </c>
    </row>
    <row r="672" spans="1:9" x14ac:dyDescent="0.3">
      <c r="A672" s="23">
        <v>46121</v>
      </c>
      <c r="B672" s="24" t="s">
        <v>767</v>
      </c>
      <c r="C672" s="24" t="s">
        <v>76</v>
      </c>
      <c r="D672" s="24" t="s">
        <v>64</v>
      </c>
      <c r="E672" s="25">
        <v>5323.45</v>
      </c>
      <c r="F672" s="25">
        <v>3986.71</v>
      </c>
      <c r="G672" s="26">
        <f>T_Ventes[[#This Row],[CA HT]]-T_Ventes[[#This Row],[Coût achat HT]]</f>
        <v>1336.7399999999998</v>
      </c>
      <c r="H672" s="27">
        <f>DATE(YEAR(T_Ventes[[#This Row],[Date facture]]),MONTH(T_Ventes[[#This Row],[Date facture]]),1)</f>
        <v>46113</v>
      </c>
      <c r="I672" s="28">
        <f>YEAR(T_Ventes[[#This Row],[Date facture]])</f>
        <v>2026</v>
      </c>
    </row>
    <row r="673" spans="1:9" x14ac:dyDescent="0.3">
      <c r="A673" s="23">
        <v>46121</v>
      </c>
      <c r="B673" s="24" t="s">
        <v>768</v>
      </c>
      <c r="C673" s="24" t="s">
        <v>152</v>
      </c>
      <c r="D673" s="24" t="s">
        <v>64</v>
      </c>
      <c r="E673" s="25">
        <v>3690.69</v>
      </c>
      <c r="F673" s="25">
        <v>2796.26</v>
      </c>
      <c r="G673" s="26">
        <f>T_Ventes[[#This Row],[CA HT]]-T_Ventes[[#This Row],[Coût achat HT]]</f>
        <v>894.42999999999984</v>
      </c>
      <c r="H673" s="27">
        <f>DATE(YEAR(T_Ventes[[#This Row],[Date facture]]),MONTH(T_Ventes[[#This Row],[Date facture]]),1)</f>
        <v>46113</v>
      </c>
      <c r="I673" s="28">
        <f>YEAR(T_Ventes[[#This Row],[Date facture]])</f>
        <v>2026</v>
      </c>
    </row>
    <row r="674" spans="1:9" x14ac:dyDescent="0.3">
      <c r="A674" s="23">
        <v>46121</v>
      </c>
      <c r="B674" s="24" t="s">
        <v>769</v>
      </c>
      <c r="C674" s="24" t="s">
        <v>80</v>
      </c>
      <c r="D674" s="24" t="s">
        <v>57</v>
      </c>
      <c r="E674" s="25">
        <v>4306.75</v>
      </c>
      <c r="F674" s="25">
        <v>2885.26</v>
      </c>
      <c r="G674" s="26">
        <f>T_Ventes[[#This Row],[CA HT]]-T_Ventes[[#This Row],[Coût achat HT]]</f>
        <v>1421.4899999999998</v>
      </c>
      <c r="H674" s="27">
        <f>DATE(YEAR(T_Ventes[[#This Row],[Date facture]]),MONTH(T_Ventes[[#This Row],[Date facture]]),1)</f>
        <v>46113</v>
      </c>
      <c r="I674" s="28">
        <f>YEAR(T_Ventes[[#This Row],[Date facture]])</f>
        <v>2026</v>
      </c>
    </row>
    <row r="675" spans="1:9" x14ac:dyDescent="0.3">
      <c r="A675" s="23">
        <v>46122</v>
      </c>
      <c r="B675" s="24" t="s">
        <v>770</v>
      </c>
      <c r="C675" s="24" t="s">
        <v>80</v>
      </c>
      <c r="D675" s="24" t="s">
        <v>64</v>
      </c>
      <c r="E675" s="25">
        <v>3933.57</v>
      </c>
      <c r="F675" s="25">
        <v>2963.29</v>
      </c>
      <c r="G675" s="26">
        <f>T_Ventes[[#This Row],[CA HT]]-T_Ventes[[#This Row],[Coût achat HT]]</f>
        <v>970.2800000000002</v>
      </c>
      <c r="H675" s="27">
        <f>DATE(YEAR(T_Ventes[[#This Row],[Date facture]]),MONTH(T_Ventes[[#This Row],[Date facture]]),1)</f>
        <v>46113</v>
      </c>
      <c r="I675" s="28">
        <f>YEAR(T_Ventes[[#This Row],[Date facture]])</f>
        <v>2026</v>
      </c>
    </row>
    <row r="676" spans="1:9" x14ac:dyDescent="0.3">
      <c r="A676" s="23">
        <v>46122</v>
      </c>
      <c r="B676" s="24" t="s">
        <v>771</v>
      </c>
      <c r="C676" s="24" t="s">
        <v>56</v>
      </c>
      <c r="D676" s="24" t="s">
        <v>64</v>
      </c>
      <c r="E676" s="25">
        <v>6234.53</v>
      </c>
      <c r="F676" s="25">
        <v>4790.7700000000004</v>
      </c>
      <c r="G676" s="26">
        <f>T_Ventes[[#This Row],[CA HT]]-T_Ventes[[#This Row],[Coût achat HT]]</f>
        <v>1443.7599999999993</v>
      </c>
      <c r="H676" s="27">
        <f>DATE(YEAR(T_Ventes[[#This Row],[Date facture]]),MONTH(T_Ventes[[#This Row],[Date facture]]),1)</f>
        <v>46113</v>
      </c>
      <c r="I676" s="28">
        <f>YEAR(T_Ventes[[#This Row],[Date facture]])</f>
        <v>2026</v>
      </c>
    </row>
    <row r="677" spans="1:9" x14ac:dyDescent="0.3">
      <c r="A677" s="23">
        <v>46122</v>
      </c>
      <c r="B677" s="24" t="s">
        <v>772</v>
      </c>
      <c r="C677" s="24" t="s">
        <v>105</v>
      </c>
      <c r="D677" s="24" t="s">
        <v>64</v>
      </c>
      <c r="E677" s="25">
        <v>3083.11</v>
      </c>
      <c r="F677" s="25">
        <v>2371.67</v>
      </c>
      <c r="G677" s="26">
        <f>T_Ventes[[#This Row],[CA HT]]-T_Ventes[[#This Row],[Coût achat HT]]</f>
        <v>711.44</v>
      </c>
      <c r="H677" s="27">
        <f>DATE(YEAR(T_Ventes[[#This Row],[Date facture]]),MONTH(T_Ventes[[#This Row],[Date facture]]),1)</f>
        <v>46113</v>
      </c>
      <c r="I677" s="28">
        <f>YEAR(T_Ventes[[#This Row],[Date facture]])</f>
        <v>2026</v>
      </c>
    </row>
    <row r="678" spans="1:9" x14ac:dyDescent="0.3">
      <c r="A678" s="23">
        <v>46123</v>
      </c>
      <c r="B678" s="24" t="s">
        <v>773</v>
      </c>
      <c r="C678" s="24" t="s">
        <v>94</v>
      </c>
      <c r="D678" s="24" t="s">
        <v>57</v>
      </c>
      <c r="E678" s="25">
        <v>5423.95</v>
      </c>
      <c r="F678" s="25">
        <v>3556.04</v>
      </c>
      <c r="G678" s="26">
        <f>T_Ventes[[#This Row],[CA HT]]-T_Ventes[[#This Row],[Coût achat HT]]</f>
        <v>1867.9099999999999</v>
      </c>
      <c r="H678" s="27">
        <f>DATE(YEAR(T_Ventes[[#This Row],[Date facture]]),MONTH(T_Ventes[[#This Row],[Date facture]]),1)</f>
        <v>46113</v>
      </c>
      <c r="I678" s="28">
        <f>YEAR(T_Ventes[[#This Row],[Date facture]])</f>
        <v>2026</v>
      </c>
    </row>
    <row r="679" spans="1:9" x14ac:dyDescent="0.3">
      <c r="A679" s="23">
        <v>46124</v>
      </c>
      <c r="B679" s="24" t="s">
        <v>774</v>
      </c>
      <c r="C679" s="24" t="s">
        <v>94</v>
      </c>
      <c r="D679" s="24" t="s">
        <v>64</v>
      </c>
      <c r="E679" s="25">
        <v>1653.76</v>
      </c>
      <c r="F679" s="25">
        <v>1238.21</v>
      </c>
      <c r="G679" s="26">
        <f>T_Ventes[[#This Row],[CA HT]]-T_Ventes[[#This Row],[Coût achat HT]]</f>
        <v>415.54999999999995</v>
      </c>
      <c r="H679" s="27">
        <f>DATE(YEAR(T_Ventes[[#This Row],[Date facture]]),MONTH(T_Ventes[[#This Row],[Date facture]]),1)</f>
        <v>46113</v>
      </c>
      <c r="I679" s="28">
        <f>YEAR(T_Ventes[[#This Row],[Date facture]])</f>
        <v>2026</v>
      </c>
    </row>
    <row r="680" spans="1:9" x14ac:dyDescent="0.3">
      <c r="A680" s="23">
        <v>46124</v>
      </c>
      <c r="B680" s="24" t="s">
        <v>775</v>
      </c>
      <c r="C680" s="24" t="s">
        <v>76</v>
      </c>
      <c r="D680" s="24" t="s">
        <v>71</v>
      </c>
      <c r="E680" s="25">
        <v>2826.63</v>
      </c>
      <c r="F680" s="25">
        <v>1666.94</v>
      </c>
      <c r="G680" s="26">
        <f>T_Ventes[[#This Row],[CA HT]]-T_Ventes[[#This Row],[Coût achat HT]]</f>
        <v>1159.69</v>
      </c>
      <c r="H680" s="27">
        <f>DATE(YEAR(T_Ventes[[#This Row],[Date facture]]),MONTH(T_Ventes[[#This Row],[Date facture]]),1)</f>
        <v>46113</v>
      </c>
      <c r="I680" s="28">
        <f>YEAR(T_Ventes[[#This Row],[Date facture]])</f>
        <v>2026</v>
      </c>
    </row>
    <row r="681" spans="1:9" x14ac:dyDescent="0.3">
      <c r="A681" s="23">
        <v>46126</v>
      </c>
      <c r="B681" s="24" t="s">
        <v>776</v>
      </c>
      <c r="C681" s="24" t="s">
        <v>115</v>
      </c>
      <c r="D681" s="24" t="s">
        <v>64</v>
      </c>
      <c r="E681" s="25">
        <v>5580.33</v>
      </c>
      <c r="F681" s="25">
        <v>4261.38</v>
      </c>
      <c r="G681" s="26">
        <f>T_Ventes[[#This Row],[CA HT]]-T_Ventes[[#This Row],[Coût achat HT]]</f>
        <v>1318.9499999999998</v>
      </c>
      <c r="H681" s="27">
        <f>DATE(YEAR(T_Ventes[[#This Row],[Date facture]]),MONTH(T_Ventes[[#This Row],[Date facture]]),1)</f>
        <v>46113</v>
      </c>
      <c r="I681" s="28">
        <f>YEAR(T_Ventes[[#This Row],[Date facture]])</f>
        <v>2026</v>
      </c>
    </row>
    <row r="682" spans="1:9" x14ac:dyDescent="0.3">
      <c r="A682" s="23">
        <v>46126</v>
      </c>
      <c r="B682" s="24" t="s">
        <v>777</v>
      </c>
      <c r="C682" s="24" t="s">
        <v>73</v>
      </c>
      <c r="D682" s="24" t="s">
        <v>71</v>
      </c>
      <c r="E682" s="25">
        <v>2230</v>
      </c>
      <c r="F682" s="25">
        <v>1336.94</v>
      </c>
      <c r="G682" s="26">
        <f>T_Ventes[[#This Row],[CA HT]]-T_Ventes[[#This Row],[Coût achat HT]]</f>
        <v>893.06</v>
      </c>
      <c r="H682" s="27">
        <f>DATE(YEAR(T_Ventes[[#This Row],[Date facture]]),MONTH(T_Ventes[[#This Row],[Date facture]]),1)</f>
        <v>46113</v>
      </c>
      <c r="I682" s="28">
        <f>YEAR(T_Ventes[[#This Row],[Date facture]])</f>
        <v>2026</v>
      </c>
    </row>
    <row r="683" spans="1:9" x14ac:dyDescent="0.3">
      <c r="A683" s="23">
        <v>46126</v>
      </c>
      <c r="B683" s="24" t="s">
        <v>778</v>
      </c>
      <c r="C683" s="24" t="s">
        <v>56</v>
      </c>
      <c r="D683" s="24" t="s">
        <v>71</v>
      </c>
      <c r="E683" s="25">
        <v>4828.3500000000004</v>
      </c>
      <c r="F683" s="25">
        <v>2782.43</v>
      </c>
      <c r="G683" s="26">
        <f>T_Ventes[[#This Row],[CA HT]]-T_Ventes[[#This Row],[Coût achat HT]]</f>
        <v>2045.9200000000005</v>
      </c>
      <c r="H683" s="27">
        <f>DATE(YEAR(T_Ventes[[#This Row],[Date facture]]),MONTH(T_Ventes[[#This Row],[Date facture]]),1)</f>
        <v>46113</v>
      </c>
      <c r="I683" s="28">
        <f>YEAR(T_Ventes[[#This Row],[Date facture]])</f>
        <v>2026</v>
      </c>
    </row>
    <row r="684" spans="1:9" x14ac:dyDescent="0.3">
      <c r="A684" s="23">
        <v>46127</v>
      </c>
      <c r="B684" s="24" t="s">
        <v>779</v>
      </c>
      <c r="C684" s="24" t="s">
        <v>177</v>
      </c>
      <c r="D684" s="24" t="s">
        <v>64</v>
      </c>
      <c r="E684" s="25">
        <v>4919.29</v>
      </c>
      <c r="F684" s="25">
        <v>3700.65</v>
      </c>
      <c r="G684" s="26">
        <f>T_Ventes[[#This Row],[CA HT]]-T_Ventes[[#This Row],[Coût achat HT]]</f>
        <v>1218.6399999999999</v>
      </c>
      <c r="H684" s="27">
        <f>DATE(YEAR(T_Ventes[[#This Row],[Date facture]]),MONTH(T_Ventes[[#This Row],[Date facture]]),1)</f>
        <v>46113</v>
      </c>
      <c r="I684" s="28">
        <f>YEAR(T_Ventes[[#This Row],[Date facture]])</f>
        <v>2026</v>
      </c>
    </row>
    <row r="685" spans="1:9" x14ac:dyDescent="0.3">
      <c r="A685" s="23">
        <v>46127</v>
      </c>
      <c r="B685" s="24" t="s">
        <v>780</v>
      </c>
      <c r="C685" s="24" t="s">
        <v>292</v>
      </c>
      <c r="D685" s="24" t="s">
        <v>64</v>
      </c>
      <c r="E685" s="25">
        <v>4649.99</v>
      </c>
      <c r="F685" s="25">
        <v>3586.76</v>
      </c>
      <c r="G685" s="26">
        <f>T_Ventes[[#This Row],[CA HT]]-T_Ventes[[#This Row],[Coût achat HT]]</f>
        <v>1063.2299999999996</v>
      </c>
      <c r="H685" s="27">
        <f>DATE(YEAR(T_Ventes[[#This Row],[Date facture]]),MONTH(T_Ventes[[#This Row],[Date facture]]),1)</f>
        <v>46113</v>
      </c>
      <c r="I685" s="28">
        <f>YEAR(T_Ventes[[#This Row],[Date facture]])</f>
        <v>2026</v>
      </c>
    </row>
    <row r="686" spans="1:9" x14ac:dyDescent="0.3">
      <c r="A686" s="23">
        <v>46128</v>
      </c>
      <c r="B686" s="24" t="s">
        <v>781</v>
      </c>
      <c r="C686" s="24" t="s">
        <v>247</v>
      </c>
      <c r="D686" s="24" t="s">
        <v>64</v>
      </c>
      <c r="E686" s="25">
        <v>2645.68</v>
      </c>
      <c r="F686" s="25">
        <v>1987.49</v>
      </c>
      <c r="G686" s="26">
        <f>T_Ventes[[#This Row],[CA HT]]-T_Ventes[[#This Row],[Coût achat HT]]</f>
        <v>658.18999999999983</v>
      </c>
      <c r="H686" s="27">
        <f>DATE(YEAR(T_Ventes[[#This Row],[Date facture]]),MONTH(T_Ventes[[#This Row],[Date facture]]),1)</f>
        <v>46113</v>
      </c>
      <c r="I686" s="28">
        <f>YEAR(T_Ventes[[#This Row],[Date facture]])</f>
        <v>2026</v>
      </c>
    </row>
    <row r="687" spans="1:9" x14ac:dyDescent="0.3">
      <c r="A687" s="23">
        <v>46128</v>
      </c>
      <c r="B687" s="24" t="s">
        <v>782</v>
      </c>
      <c r="C687" s="24" t="s">
        <v>76</v>
      </c>
      <c r="D687" s="24" t="s">
        <v>64</v>
      </c>
      <c r="E687" s="25">
        <v>4403.05</v>
      </c>
      <c r="F687" s="25">
        <v>3373.28</v>
      </c>
      <c r="G687" s="26">
        <f>T_Ventes[[#This Row],[CA HT]]-T_Ventes[[#This Row],[Coût achat HT]]</f>
        <v>1029.77</v>
      </c>
      <c r="H687" s="27">
        <f>DATE(YEAR(T_Ventes[[#This Row],[Date facture]]),MONTH(T_Ventes[[#This Row],[Date facture]]),1)</f>
        <v>46113</v>
      </c>
      <c r="I687" s="28">
        <f>YEAR(T_Ventes[[#This Row],[Date facture]])</f>
        <v>2026</v>
      </c>
    </row>
    <row r="688" spans="1:9" x14ac:dyDescent="0.3">
      <c r="A688" s="23">
        <v>46128</v>
      </c>
      <c r="B688" s="24" t="s">
        <v>783</v>
      </c>
      <c r="C688" s="24" t="s">
        <v>56</v>
      </c>
      <c r="D688" s="24" t="s">
        <v>64</v>
      </c>
      <c r="E688" s="25">
        <v>3705.34</v>
      </c>
      <c r="F688" s="25">
        <v>2790.13</v>
      </c>
      <c r="G688" s="26">
        <f>T_Ventes[[#This Row],[CA HT]]-T_Ventes[[#This Row],[Coût achat HT]]</f>
        <v>915.21</v>
      </c>
      <c r="H688" s="27">
        <f>DATE(YEAR(T_Ventes[[#This Row],[Date facture]]),MONTH(T_Ventes[[#This Row],[Date facture]]),1)</f>
        <v>46113</v>
      </c>
      <c r="I688" s="28">
        <f>YEAR(T_Ventes[[#This Row],[Date facture]])</f>
        <v>2026</v>
      </c>
    </row>
    <row r="689" spans="1:9" x14ac:dyDescent="0.3">
      <c r="A689" s="23">
        <v>46128</v>
      </c>
      <c r="B689" s="24" t="s">
        <v>784</v>
      </c>
      <c r="C689" s="24" t="s">
        <v>63</v>
      </c>
      <c r="D689" s="24" t="s">
        <v>71</v>
      </c>
      <c r="E689" s="25">
        <v>4161</v>
      </c>
      <c r="F689" s="25">
        <v>2534.12</v>
      </c>
      <c r="G689" s="26">
        <f>T_Ventes[[#This Row],[CA HT]]-T_Ventes[[#This Row],[Coût achat HT]]</f>
        <v>1626.88</v>
      </c>
      <c r="H689" s="27">
        <f>DATE(YEAR(T_Ventes[[#This Row],[Date facture]]),MONTH(T_Ventes[[#This Row],[Date facture]]),1)</f>
        <v>46113</v>
      </c>
      <c r="I689" s="28">
        <f>YEAR(T_Ventes[[#This Row],[Date facture]])</f>
        <v>2026</v>
      </c>
    </row>
    <row r="690" spans="1:9" x14ac:dyDescent="0.3">
      <c r="A690" s="23">
        <v>46128</v>
      </c>
      <c r="B690" s="24" t="s">
        <v>785</v>
      </c>
      <c r="C690" s="24" t="s">
        <v>123</v>
      </c>
      <c r="D690" s="24" t="s">
        <v>71</v>
      </c>
      <c r="E690" s="25">
        <v>5260.26</v>
      </c>
      <c r="F690" s="25">
        <v>3103.7</v>
      </c>
      <c r="G690" s="26">
        <f>T_Ventes[[#This Row],[CA HT]]-T_Ventes[[#This Row],[Coût achat HT]]</f>
        <v>2156.5600000000004</v>
      </c>
      <c r="H690" s="27">
        <f>DATE(YEAR(T_Ventes[[#This Row],[Date facture]]),MONTH(T_Ventes[[#This Row],[Date facture]]),1)</f>
        <v>46113</v>
      </c>
      <c r="I690" s="28">
        <f>YEAR(T_Ventes[[#This Row],[Date facture]])</f>
        <v>2026</v>
      </c>
    </row>
    <row r="691" spans="1:9" x14ac:dyDescent="0.3">
      <c r="A691" s="23">
        <v>46129</v>
      </c>
      <c r="B691" s="24" t="s">
        <v>786</v>
      </c>
      <c r="C691" s="24" t="s">
        <v>100</v>
      </c>
      <c r="D691" s="24" t="s">
        <v>57</v>
      </c>
      <c r="E691" s="25">
        <v>2664.65</v>
      </c>
      <c r="F691" s="25">
        <v>1794.86</v>
      </c>
      <c r="G691" s="26">
        <f>T_Ventes[[#This Row],[CA HT]]-T_Ventes[[#This Row],[Coût achat HT]]</f>
        <v>869.79000000000019</v>
      </c>
      <c r="H691" s="27">
        <f>DATE(YEAR(T_Ventes[[#This Row],[Date facture]]),MONTH(T_Ventes[[#This Row],[Date facture]]),1)</f>
        <v>46113</v>
      </c>
      <c r="I691" s="28">
        <f>YEAR(T_Ventes[[#This Row],[Date facture]])</f>
        <v>2026</v>
      </c>
    </row>
    <row r="692" spans="1:9" x14ac:dyDescent="0.3">
      <c r="A692" s="23">
        <v>46130</v>
      </c>
      <c r="B692" s="24" t="s">
        <v>787</v>
      </c>
      <c r="C692" s="24" t="s">
        <v>115</v>
      </c>
      <c r="D692" s="24" t="s">
        <v>64</v>
      </c>
      <c r="E692" s="25">
        <v>1493.75</v>
      </c>
      <c r="F692" s="25">
        <v>1122.79</v>
      </c>
      <c r="G692" s="26">
        <f>T_Ventes[[#This Row],[CA HT]]-T_Ventes[[#This Row],[Coût achat HT]]</f>
        <v>370.96000000000004</v>
      </c>
      <c r="H692" s="27">
        <f>DATE(YEAR(T_Ventes[[#This Row],[Date facture]]),MONTH(T_Ventes[[#This Row],[Date facture]]),1)</f>
        <v>46113</v>
      </c>
      <c r="I692" s="28">
        <f>YEAR(T_Ventes[[#This Row],[Date facture]])</f>
        <v>2026</v>
      </c>
    </row>
    <row r="693" spans="1:9" x14ac:dyDescent="0.3">
      <c r="A693" s="23">
        <v>46130</v>
      </c>
      <c r="B693" s="24" t="s">
        <v>788</v>
      </c>
      <c r="C693" s="24" t="s">
        <v>56</v>
      </c>
      <c r="D693" s="24" t="s">
        <v>64</v>
      </c>
      <c r="E693" s="25">
        <v>2608.87</v>
      </c>
      <c r="F693" s="25">
        <v>1963.37</v>
      </c>
      <c r="G693" s="26">
        <f>T_Ventes[[#This Row],[CA HT]]-T_Ventes[[#This Row],[Coût achat HT]]</f>
        <v>645.5</v>
      </c>
      <c r="H693" s="27">
        <f>DATE(YEAR(T_Ventes[[#This Row],[Date facture]]),MONTH(T_Ventes[[#This Row],[Date facture]]),1)</f>
        <v>46113</v>
      </c>
      <c r="I693" s="28">
        <f>YEAR(T_Ventes[[#This Row],[Date facture]])</f>
        <v>2026</v>
      </c>
    </row>
    <row r="694" spans="1:9" x14ac:dyDescent="0.3">
      <c r="A694" s="23">
        <v>46130</v>
      </c>
      <c r="B694" s="24" t="s">
        <v>789</v>
      </c>
      <c r="C694" s="24" t="s">
        <v>158</v>
      </c>
      <c r="D694" s="24" t="s">
        <v>64</v>
      </c>
      <c r="E694" s="25">
        <v>1162.72</v>
      </c>
      <c r="F694" s="25">
        <v>877.29</v>
      </c>
      <c r="G694" s="26">
        <f>T_Ventes[[#This Row],[CA HT]]-T_Ventes[[#This Row],[Coût achat HT]]</f>
        <v>285.43000000000006</v>
      </c>
      <c r="H694" s="27">
        <f>DATE(YEAR(T_Ventes[[#This Row],[Date facture]]),MONTH(T_Ventes[[#This Row],[Date facture]]),1)</f>
        <v>46113</v>
      </c>
      <c r="I694" s="28">
        <f>YEAR(T_Ventes[[#This Row],[Date facture]])</f>
        <v>2026</v>
      </c>
    </row>
    <row r="695" spans="1:9" x14ac:dyDescent="0.3">
      <c r="A695" s="23">
        <v>46130</v>
      </c>
      <c r="B695" s="24" t="s">
        <v>790</v>
      </c>
      <c r="C695" s="24" t="s">
        <v>92</v>
      </c>
      <c r="D695" s="24" t="s">
        <v>71</v>
      </c>
      <c r="E695" s="25">
        <v>5940.06</v>
      </c>
      <c r="F695" s="25">
        <v>3423.54</v>
      </c>
      <c r="G695" s="26">
        <f>T_Ventes[[#This Row],[CA HT]]-T_Ventes[[#This Row],[Coût achat HT]]</f>
        <v>2516.5200000000004</v>
      </c>
      <c r="H695" s="27">
        <f>DATE(YEAR(T_Ventes[[#This Row],[Date facture]]),MONTH(T_Ventes[[#This Row],[Date facture]]),1)</f>
        <v>46113</v>
      </c>
      <c r="I695" s="28">
        <f>YEAR(T_Ventes[[#This Row],[Date facture]])</f>
        <v>2026</v>
      </c>
    </row>
    <row r="696" spans="1:9" x14ac:dyDescent="0.3">
      <c r="A696" s="23">
        <v>46131</v>
      </c>
      <c r="B696" s="24" t="s">
        <v>791</v>
      </c>
      <c r="C696" s="24" t="s">
        <v>108</v>
      </c>
      <c r="D696" s="24" t="s">
        <v>64</v>
      </c>
      <c r="E696" s="25">
        <v>4479.3100000000004</v>
      </c>
      <c r="F696" s="25">
        <v>3368.38</v>
      </c>
      <c r="G696" s="26">
        <f>T_Ventes[[#This Row],[CA HT]]-T_Ventes[[#This Row],[Coût achat HT]]</f>
        <v>1110.9300000000003</v>
      </c>
      <c r="H696" s="27">
        <f>DATE(YEAR(T_Ventes[[#This Row],[Date facture]]),MONTH(T_Ventes[[#This Row],[Date facture]]),1)</f>
        <v>46113</v>
      </c>
      <c r="I696" s="28">
        <f>YEAR(T_Ventes[[#This Row],[Date facture]])</f>
        <v>2026</v>
      </c>
    </row>
    <row r="697" spans="1:9" x14ac:dyDescent="0.3">
      <c r="A697" s="23">
        <v>46131</v>
      </c>
      <c r="B697" s="24" t="s">
        <v>792</v>
      </c>
      <c r="C697" s="24" t="s">
        <v>76</v>
      </c>
      <c r="D697" s="24" t="s">
        <v>57</v>
      </c>
      <c r="E697" s="25">
        <v>6016.3</v>
      </c>
      <c r="F697" s="25">
        <v>3906.41</v>
      </c>
      <c r="G697" s="26">
        <f>T_Ventes[[#This Row],[CA HT]]-T_Ventes[[#This Row],[Coût achat HT]]</f>
        <v>2109.8900000000003</v>
      </c>
      <c r="H697" s="27">
        <f>DATE(YEAR(T_Ventes[[#This Row],[Date facture]]),MONTH(T_Ventes[[#This Row],[Date facture]]),1)</f>
        <v>46113</v>
      </c>
      <c r="I697" s="28">
        <f>YEAR(T_Ventes[[#This Row],[Date facture]])</f>
        <v>2026</v>
      </c>
    </row>
    <row r="698" spans="1:9" x14ac:dyDescent="0.3">
      <c r="A698" s="23">
        <v>46132</v>
      </c>
      <c r="B698" s="24" t="s">
        <v>793</v>
      </c>
      <c r="C698" s="24" t="s">
        <v>68</v>
      </c>
      <c r="D698" s="24" t="s">
        <v>57</v>
      </c>
      <c r="E698" s="25">
        <v>6408.22</v>
      </c>
      <c r="F698" s="25">
        <v>4264.54</v>
      </c>
      <c r="G698" s="26">
        <f>T_Ventes[[#This Row],[CA HT]]-T_Ventes[[#This Row],[Coût achat HT]]</f>
        <v>2143.6800000000003</v>
      </c>
      <c r="H698" s="27">
        <f>DATE(YEAR(T_Ventes[[#This Row],[Date facture]]),MONTH(T_Ventes[[#This Row],[Date facture]]),1)</f>
        <v>46113</v>
      </c>
      <c r="I698" s="28">
        <f>YEAR(T_Ventes[[#This Row],[Date facture]])</f>
        <v>2026</v>
      </c>
    </row>
    <row r="699" spans="1:9" x14ac:dyDescent="0.3">
      <c r="A699" s="23">
        <v>46132</v>
      </c>
      <c r="B699" s="24" t="s">
        <v>794</v>
      </c>
      <c r="C699" s="24" t="s">
        <v>94</v>
      </c>
      <c r="D699" s="24" t="s">
        <v>71</v>
      </c>
      <c r="E699" s="25">
        <v>3220.65</v>
      </c>
      <c r="F699" s="25">
        <v>1939.1</v>
      </c>
      <c r="G699" s="26">
        <f>T_Ventes[[#This Row],[CA HT]]-T_Ventes[[#This Row],[Coût achat HT]]</f>
        <v>1281.5500000000002</v>
      </c>
      <c r="H699" s="27">
        <f>DATE(YEAR(T_Ventes[[#This Row],[Date facture]]),MONTH(T_Ventes[[#This Row],[Date facture]]),1)</f>
        <v>46113</v>
      </c>
      <c r="I699" s="28">
        <f>YEAR(T_Ventes[[#This Row],[Date facture]])</f>
        <v>2026</v>
      </c>
    </row>
    <row r="700" spans="1:9" x14ac:dyDescent="0.3">
      <c r="A700" s="23">
        <v>46133</v>
      </c>
      <c r="B700" s="24" t="s">
        <v>795</v>
      </c>
      <c r="C700" s="24" t="s">
        <v>56</v>
      </c>
      <c r="D700" s="24" t="s">
        <v>59</v>
      </c>
      <c r="E700" s="25">
        <v>4417.22</v>
      </c>
      <c r="F700" s="25">
        <v>1711.61</v>
      </c>
      <c r="G700" s="26">
        <f>T_Ventes[[#This Row],[CA HT]]-T_Ventes[[#This Row],[Coût achat HT]]</f>
        <v>2705.6100000000006</v>
      </c>
      <c r="H700" s="27">
        <f>DATE(YEAR(T_Ventes[[#This Row],[Date facture]]),MONTH(T_Ventes[[#This Row],[Date facture]]),1)</f>
        <v>46113</v>
      </c>
      <c r="I700" s="28">
        <f>YEAR(T_Ventes[[#This Row],[Date facture]])</f>
        <v>2026</v>
      </c>
    </row>
    <row r="701" spans="1:9" x14ac:dyDescent="0.3">
      <c r="A701" s="23">
        <v>46135</v>
      </c>
      <c r="B701" s="24" t="s">
        <v>796</v>
      </c>
      <c r="C701" s="24" t="s">
        <v>128</v>
      </c>
      <c r="D701" s="24" t="s">
        <v>64</v>
      </c>
      <c r="E701" s="25">
        <v>6264.08</v>
      </c>
      <c r="F701" s="25">
        <v>4828.8900000000003</v>
      </c>
      <c r="G701" s="26">
        <f>T_Ventes[[#This Row],[CA HT]]-T_Ventes[[#This Row],[Coût achat HT]]</f>
        <v>1435.1899999999996</v>
      </c>
      <c r="H701" s="27">
        <f>DATE(YEAR(T_Ventes[[#This Row],[Date facture]]),MONTH(T_Ventes[[#This Row],[Date facture]]),1)</f>
        <v>46113</v>
      </c>
      <c r="I701" s="28">
        <f>YEAR(T_Ventes[[#This Row],[Date facture]])</f>
        <v>2026</v>
      </c>
    </row>
    <row r="702" spans="1:9" x14ac:dyDescent="0.3">
      <c r="A702" s="23">
        <v>46135</v>
      </c>
      <c r="B702" s="24" t="s">
        <v>797</v>
      </c>
      <c r="C702" s="24" t="s">
        <v>348</v>
      </c>
      <c r="D702" s="24" t="s">
        <v>57</v>
      </c>
      <c r="E702" s="25">
        <v>3012.26</v>
      </c>
      <c r="F702" s="25">
        <v>1939.73</v>
      </c>
      <c r="G702" s="26">
        <f>T_Ventes[[#This Row],[CA HT]]-T_Ventes[[#This Row],[Coût achat HT]]</f>
        <v>1072.5300000000002</v>
      </c>
      <c r="H702" s="27">
        <f>DATE(YEAR(T_Ventes[[#This Row],[Date facture]]),MONTH(T_Ventes[[#This Row],[Date facture]]),1)</f>
        <v>46113</v>
      </c>
      <c r="I702" s="28">
        <f>YEAR(T_Ventes[[#This Row],[Date facture]])</f>
        <v>2026</v>
      </c>
    </row>
    <row r="703" spans="1:9" x14ac:dyDescent="0.3">
      <c r="A703" s="23">
        <v>46136</v>
      </c>
      <c r="B703" s="24" t="s">
        <v>798</v>
      </c>
      <c r="C703" s="24" t="s">
        <v>80</v>
      </c>
      <c r="D703" s="24" t="s">
        <v>64</v>
      </c>
      <c r="E703" s="25">
        <v>6169.04</v>
      </c>
      <c r="F703" s="25">
        <v>4712.59</v>
      </c>
      <c r="G703" s="26">
        <f>T_Ventes[[#This Row],[CA HT]]-T_Ventes[[#This Row],[Coût achat HT]]</f>
        <v>1456.4499999999998</v>
      </c>
      <c r="H703" s="27">
        <f>DATE(YEAR(T_Ventes[[#This Row],[Date facture]]),MONTH(T_Ventes[[#This Row],[Date facture]]),1)</f>
        <v>46113</v>
      </c>
      <c r="I703" s="28">
        <f>YEAR(T_Ventes[[#This Row],[Date facture]])</f>
        <v>2026</v>
      </c>
    </row>
    <row r="704" spans="1:9" x14ac:dyDescent="0.3">
      <c r="A704" s="23">
        <v>46138</v>
      </c>
      <c r="B704" s="24" t="s">
        <v>799</v>
      </c>
      <c r="C704" s="24" t="s">
        <v>80</v>
      </c>
      <c r="D704" s="24" t="s">
        <v>71</v>
      </c>
      <c r="E704" s="25">
        <v>3814.63</v>
      </c>
      <c r="F704" s="25">
        <v>2221.0700000000002</v>
      </c>
      <c r="G704" s="26">
        <f>T_Ventes[[#This Row],[CA HT]]-T_Ventes[[#This Row],[Coût achat HT]]</f>
        <v>1593.56</v>
      </c>
      <c r="H704" s="27">
        <f>DATE(YEAR(T_Ventes[[#This Row],[Date facture]]),MONTH(T_Ventes[[#This Row],[Date facture]]),1)</f>
        <v>46113</v>
      </c>
      <c r="I704" s="28">
        <f>YEAR(T_Ventes[[#This Row],[Date facture]])</f>
        <v>2026</v>
      </c>
    </row>
    <row r="705" spans="1:9" x14ac:dyDescent="0.3">
      <c r="A705" s="23">
        <v>46138</v>
      </c>
      <c r="B705" s="24" t="s">
        <v>800</v>
      </c>
      <c r="C705" s="24" t="s">
        <v>244</v>
      </c>
      <c r="D705" s="24" t="s">
        <v>59</v>
      </c>
      <c r="E705" s="25">
        <v>6829.54</v>
      </c>
      <c r="F705" s="25">
        <v>2793.42</v>
      </c>
      <c r="G705" s="26">
        <f>T_Ventes[[#This Row],[CA HT]]-T_Ventes[[#This Row],[Coût achat HT]]</f>
        <v>4036.12</v>
      </c>
      <c r="H705" s="27">
        <f>DATE(YEAR(T_Ventes[[#This Row],[Date facture]]),MONTH(T_Ventes[[#This Row],[Date facture]]),1)</f>
        <v>46113</v>
      </c>
      <c r="I705" s="28">
        <f>YEAR(T_Ventes[[#This Row],[Date facture]])</f>
        <v>2026</v>
      </c>
    </row>
    <row r="706" spans="1:9" x14ac:dyDescent="0.3">
      <c r="A706" s="23">
        <v>46140</v>
      </c>
      <c r="B706" s="24" t="s">
        <v>801</v>
      </c>
      <c r="C706" s="24" t="s">
        <v>80</v>
      </c>
      <c r="D706" s="24" t="s">
        <v>59</v>
      </c>
      <c r="E706" s="25">
        <v>2432.21</v>
      </c>
      <c r="F706" s="25">
        <v>932.76</v>
      </c>
      <c r="G706" s="26">
        <f>T_Ventes[[#This Row],[CA HT]]-T_Ventes[[#This Row],[Coût achat HT]]</f>
        <v>1499.45</v>
      </c>
      <c r="H706" s="27">
        <f>DATE(YEAR(T_Ventes[[#This Row],[Date facture]]),MONTH(T_Ventes[[#This Row],[Date facture]]),1)</f>
        <v>46113</v>
      </c>
      <c r="I706" s="28">
        <f>YEAR(T_Ventes[[#This Row],[Date facture]])</f>
        <v>2026</v>
      </c>
    </row>
    <row r="707" spans="1:9" x14ac:dyDescent="0.3">
      <c r="A707" s="23">
        <v>46143</v>
      </c>
      <c r="B707" s="24" t="s">
        <v>802</v>
      </c>
      <c r="C707" s="24" t="s">
        <v>103</v>
      </c>
      <c r="D707" s="24" t="s">
        <v>71</v>
      </c>
      <c r="E707" s="25">
        <v>6523.35</v>
      </c>
      <c r="F707" s="25">
        <v>3899.29</v>
      </c>
      <c r="G707" s="26">
        <f>T_Ventes[[#This Row],[CA HT]]-T_Ventes[[#This Row],[Coût achat HT]]</f>
        <v>2624.0600000000004</v>
      </c>
      <c r="H707" s="27">
        <f>DATE(YEAR(T_Ventes[[#This Row],[Date facture]]),MONTH(T_Ventes[[#This Row],[Date facture]]),1)</f>
        <v>46143</v>
      </c>
      <c r="I707" s="28">
        <f>YEAR(T_Ventes[[#This Row],[Date facture]])</f>
        <v>2026</v>
      </c>
    </row>
    <row r="708" spans="1:9" x14ac:dyDescent="0.3">
      <c r="A708" s="23">
        <v>46143</v>
      </c>
      <c r="B708" s="24" t="s">
        <v>803</v>
      </c>
      <c r="C708" s="24" t="s">
        <v>56</v>
      </c>
      <c r="D708" s="24" t="s">
        <v>59</v>
      </c>
      <c r="E708" s="25">
        <v>4288.92</v>
      </c>
      <c r="F708" s="25">
        <v>1727.4</v>
      </c>
      <c r="G708" s="26">
        <f>T_Ventes[[#This Row],[CA HT]]-T_Ventes[[#This Row],[Coût achat HT]]</f>
        <v>2561.52</v>
      </c>
      <c r="H708" s="27">
        <f>DATE(YEAR(T_Ventes[[#This Row],[Date facture]]),MONTH(T_Ventes[[#This Row],[Date facture]]),1)</f>
        <v>46143</v>
      </c>
      <c r="I708" s="28">
        <f>YEAR(T_Ventes[[#This Row],[Date facture]])</f>
        <v>2026</v>
      </c>
    </row>
    <row r="709" spans="1:9" x14ac:dyDescent="0.3">
      <c r="A709" s="23">
        <v>46144</v>
      </c>
      <c r="B709" s="24" t="s">
        <v>804</v>
      </c>
      <c r="C709" s="24" t="s">
        <v>80</v>
      </c>
      <c r="D709" s="24" t="s">
        <v>64</v>
      </c>
      <c r="E709" s="25">
        <v>5400.12</v>
      </c>
      <c r="F709" s="25">
        <v>4344.38</v>
      </c>
      <c r="G709" s="26">
        <f>T_Ventes[[#This Row],[CA HT]]-T_Ventes[[#This Row],[Coût achat HT]]</f>
        <v>1055.7399999999998</v>
      </c>
      <c r="H709" s="27">
        <f>DATE(YEAR(T_Ventes[[#This Row],[Date facture]]),MONTH(T_Ventes[[#This Row],[Date facture]]),1)</f>
        <v>46143</v>
      </c>
      <c r="I709" s="28">
        <f>YEAR(T_Ventes[[#This Row],[Date facture]])</f>
        <v>2026</v>
      </c>
    </row>
    <row r="710" spans="1:9" x14ac:dyDescent="0.3">
      <c r="A710" s="23">
        <v>46144</v>
      </c>
      <c r="B710" s="24" t="s">
        <v>805</v>
      </c>
      <c r="C710" s="24" t="s">
        <v>70</v>
      </c>
      <c r="D710" s="24" t="s">
        <v>64</v>
      </c>
      <c r="E710" s="25">
        <v>4495.07</v>
      </c>
      <c r="F710" s="25">
        <v>3669.22</v>
      </c>
      <c r="G710" s="26">
        <f>T_Ventes[[#This Row],[CA HT]]-T_Ventes[[#This Row],[Coût achat HT]]</f>
        <v>825.84999999999991</v>
      </c>
      <c r="H710" s="27">
        <f>DATE(YEAR(T_Ventes[[#This Row],[Date facture]]),MONTH(T_Ventes[[#This Row],[Date facture]]),1)</f>
        <v>46143</v>
      </c>
      <c r="I710" s="28">
        <f>YEAR(T_Ventes[[#This Row],[Date facture]])</f>
        <v>2026</v>
      </c>
    </row>
    <row r="711" spans="1:9" x14ac:dyDescent="0.3">
      <c r="A711" s="23">
        <v>46144</v>
      </c>
      <c r="B711" s="24" t="s">
        <v>806</v>
      </c>
      <c r="C711" s="24" t="s">
        <v>56</v>
      </c>
      <c r="D711" s="24" t="s">
        <v>57</v>
      </c>
      <c r="E711" s="25">
        <v>2997.57</v>
      </c>
      <c r="F711" s="25">
        <v>1996.68</v>
      </c>
      <c r="G711" s="26">
        <f>T_Ventes[[#This Row],[CA HT]]-T_Ventes[[#This Row],[Coût achat HT]]</f>
        <v>1000.8900000000001</v>
      </c>
      <c r="H711" s="27">
        <f>DATE(YEAR(T_Ventes[[#This Row],[Date facture]]),MONTH(T_Ventes[[#This Row],[Date facture]]),1)</f>
        <v>46143</v>
      </c>
      <c r="I711" s="28">
        <f>YEAR(T_Ventes[[#This Row],[Date facture]])</f>
        <v>2026</v>
      </c>
    </row>
    <row r="712" spans="1:9" x14ac:dyDescent="0.3">
      <c r="A712" s="23">
        <v>46146</v>
      </c>
      <c r="B712" s="24" t="s">
        <v>807</v>
      </c>
      <c r="C712" s="24" t="s">
        <v>348</v>
      </c>
      <c r="D712" s="24" t="s">
        <v>71</v>
      </c>
      <c r="E712" s="25">
        <v>2470.8200000000002</v>
      </c>
      <c r="F712" s="25">
        <v>1506.45</v>
      </c>
      <c r="G712" s="26">
        <f>T_Ventes[[#This Row],[CA HT]]-T_Ventes[[#This Row],[Coût achat HT]]</f>
        <v>964.37000000000012</v>
      </c>
      <c r="H712" s="27">
        <f>DATE(YEAR(T_Ventes[[#This Row],[Date facture]]),MONTH(T_Ventes[[#This Row],[Date facture]]),1)</f>
        <v>46143</v>
      </c>
      <c r="I712" s="28">
        <f>YEAR(T_Ventes[[#This Row],[Date facture]])</f>
        <v>2026</v>
      </c>
    </row>
    <row r="713" spans="1:9" x14ac:dyDescent="0.3">
      <c r="A713" s="23">
        <v>46146</v>
      </c>
      <c r="B713" s="24" t="s">
        <v>808</v>
      </c>
      <c r="C713" s="24" t="s">
        <v>73</v>
      </c>
      <c r="D713" s="24" t="s">
        <v>59</v>
      </c>
      <c r="E713" s="25">
        <v>3213.55</v>
      </c>
      <c r="F713" s="25">
        <v>1277.81</v>
      </c>
      <c r="G713" s="26">
        <f>T_Ventes[[#This Row],[CA HT]]-T_Ventes[[#This Row],[Coût achat HT]]</f>
        <v>1935.7400000000002</v>
      </c>
      <c r="H713" s="27">
        <f>DATE(YEAR(T_Ventes[[#This Row],[Date facture]]),MONTH(T_Ventes[[#This Row],[Date facture]]),1)</f>
        <v>46143</v>
      </c>
      <c r="I713" s="28">
        <f>YEAR(T_Ventes[[#This Row],[Date facture]])</f>
        <v>2026</v>
      </c>
    </row>
    <row r="714" spans="1:9" x14ac:dyDescent="0.3">
      <c r="A714" s="23">
        <v>46147</v>
      </c>
      <c r="B714" s="24" t="s">
        <v>809</v>
      </c>
      <c r="C714" s="24" t="s">
        <v>80</v>
      </c>
      <c r="D714" s="24" t="s">
        <v>64</v>
      </c>
      <c r="E714" s="25">
        <v>6724.66</v>
      </c>
      <c r="F714" s="25">
        <v>5499.44</v>
      </c>
      <c r="G714" s="26">
        <f>T_Ventes[[#This Row],[CA HT]]-T_Ventes[[#This Row],[Coût achat HT]]</f>
        <v>1225.2200000000003</v>
      </c>
      <c r="H714" s="27">
        <f>DATE(YEAR(T_Ventes[[#This Row],[Date facture]]),MONTH(T_Ventes[[#This Row],[Date facture]]),1)</f>
        <v>46143</v>
      </c>
      <c r="I714" s="28">
        <f>YEAR(T_Ventes[[#This Row],[Date facture]])</f>
        <v>2026</v>
      </c>
    </row>
    <row r="715" spans="1:9" x14ac:dyDescent="0.3">
      <c r="A715" s="23">
        <v>46147</v>
      </c>
      <c r="B715" s="24" t="s">
        <v>810</v>
      </c>
      <c r="C715" s="24" t="s">
        <v>56</v>
      </c>
      <c r="D715" s="24" t="s">
        <v>64</v>
      </c>
      <c r="E715" s="25">
        <v>4000.39</v>
      </c>
      <c r="F715" s="25">
        <v>3206.64</v>
      </c>
      <c r="G715" s="26">
        <f>T_Ventes[[#This Row],[CA HT]]-T_Ventes[[#This Row],[Coût achat HT]]</f>
        <v>793.75</v>
      </c>
      <c r="H715" s="27">
        <f>DATE(YEAR(T_Ventes[[#This Row],[Date facture]]),MONTH(T_Ventes[[#This Row],[Date facture]]),1)</f>
        <v>46143</v>
      </c>
      <c r="I715" s="28">
        <f>YEAR(T_Ventes[[#This Row],[Date facture]])</f>
        <v>2026</v>
      </c>
    </row>
    <row r="716" spans="1:9" x14ac:dyDescent="0.3">
      <c r="A716" s="23">
        <v>46147</v>
      </c>
      <c r="B716" s="24" t="s">
        <v>811</v>
      </c>
      <c r="C716" s="24" t="s">
        <v>56</v>
      </c>
      <c r="D716" s="24" t="s">
        <v>71</v>
      </c>
      <c r="E716" s="25">
        <v>2812.18</v>
      </c>
      <c r="F716" s="25">
        <v>1688.34</v>
      </c>
      <c r="G716" s="26">
        <f>T_Ventes[[#This Row],[CA HT]]-T_Ventes[[#This Row],[Coût achat HT]]</f>
        <v>1123.8399999999999</v>
      </c>
      <c r="H716" s="27">
        <f>DATE(YEAR(T_Ventes[[#This Row],[Date facture]]),MONTH(T_Ventes[[#This Row],[Date facture]]),1)</f>
        <v>46143</v>
      </c>
      <c r="I716" s="28">
        <f>YEAR(T_Ventes[[#This Row],[Date facture]])</f>
        <v>2026</v>
      </c>
    </row>
    <row r="717" spans="1:9" x14ac:dyDescent="0.3">
      <c r="A717" s="23">
        <v>46147</v>
      </c>
      <c r="B717" s="24" t="s">
        <v>812</v>
      </c>
      <c r="C717" s="24" t="s">
        <v>115</v>
      </c>
      <c r="D717" s="24" t="s">
        <v>59</v>
      </c>
      <c r="E717" s="25">
        <v>5461.78</v>
      </c>
      <c r="F717" s="25">
        <v>2136.85</v>
      </c>
      <c r="G717" s="26">
        <f>T_Ventes[[#This Row],[CA HT]]-T_Ventes[[#This Row],[Coût achat HT]]</f>
        <v>3324.93</v>
      </c>
      <c r="H717" s="27">
        <f>DATE(YEAR(T_Ventes[[#This Row],[Date facture]]),MONTH(T_Ventes[[#This Row],[Date facture]]),1)</f>
        <v>46143</v>
      </c>
      <c r="I717" s="28">
        <f>YEAR(T_Ventes[[#This Row],[Date facture]])</f>
        <v>2026</v>
      </c>
    </row>
    <row r="718" spans="1:9" x14ac:dyDescent="0.3">
      <c r="A718" s="23">
        <v>46150</v>
      </c>
      <c r="B718" s="24" t="s">
        <v>813</v>
      </c>
      <c r="C718" s="24" t="s">
        <v>208</v>
      </c>
      <c r="D718" s="24" t="s">
        <v>57</v>
      </c>
      <c r="E718" s="25">
        <v>1416.35</v>
      </c>
      <c r="F718" s="25">
        <v>930.37</v>
      </c>
      <c r="G718" s="26">
        <f>T_Ventes[[#This Row],[CA HT]]-T_Ventes[[#This Row],[Coût achat HT]]</f>
        <v>485.9799999999999</v>
      </c>
      <c r="H718" s="27">
        <f>DATE(YEAR(T_Ventes[[#This Row],[Date facture]]),MONTH(T_Ventes[[#This Row],[Date facture]]),1)</f>
        <v>46143</v>
      </c>
      <c r="I718" s="28">
        <f>YEAR(T_Ventes[[#This Row],[Date facture]])</f>
        <v>2026</v>
      </c>
    </row>
    <row r="719" spans="1:9" x14ac:dyDescent="0.3">
      <c r="A719" s="23">
        <v>46150</v>
      </c>
      <c r="B719" s="24" t="s">
        <v>814</v>
      </c>
      <c r="C719" s="24" t="s">
        <v>73</v>
      </c>
      <c r="D719" s="24" t="s">
        <v>71</v>
      </c>
      <c r="E719" s="25">
        <v>1272.68</v>
      </c>
      <c r="F719" s="25">
        <v>757.24</v>
      </c>
      <c r="G719" s="26">
        <f>T_Ventes[[#This Row],[CA HT]]-T_Ventes[[#This Row],[Coût achat HT]]</f>
        <v>515.44000000000005</v>
      </c>
      <c r="H719" s="27">
        <f>DATE(YEAR(T_Ventes[[#This Row],[Date facture]]),MONTH(T_Ventes[[#This Row],[Date facture]]),1)</f>
        <v>46143</v>
      </c>
      <c r="I719" s="28">
        <f>YEAR(T_Ventes[[#This Row],[Date facture]])</f>
        <v>2026</v>
      </c>
    </row>
    <row r="720" spans="1:9" x14ac:dyDescent="0.3">
      <c r="A720" s="23">
        <v>46151</v>
      </c>
      <c r="B720" s="24" t="s">
        <v>815</v>
      </c>
      <c r="C720" s="24" t="s">
        <v>175</v>
      </c>
      <c r="D720" s="24" t="s">
        <v>64</v>
      </c>
      <c r="E720" s="25">
        <v>7725.17</v>
      </c>
      <c r="F720" s="25">
        <v>6227.41</v>
      </c>
      <c r="G720" s="26">
        <f>T_Ventes[[#This Row],[CA HT]]-T_Ventes[[#This Row],[Coût achat HT]]</f>
        <v>1497.7600000000002</v>
      </c>
      <c r="H720" s="27">
        <f>DATE(YEAR(T_Ventes[[#This Row],[Date facture]]),MONTH(T_Ventes[[#This Row],[Date facture]]),1)</f>
        <v>46143</v>
      </c>
      <c r="I720" s="28">
        <f>YEAR(T_Ventes[[#This Row],[Date facture]])</f>
        <v>2026</v>
      </c>
    </row>
    <row r="721" spans="1:9" x14ac:dyDescent="0.3">
      <c r="A721" s="23">
        <v>46151</v>
      </c>
      <c r="B721" s="24" t="s">
        <v>816</v>
      </c>
      <c r="C721" s="24" t="s">
        <v>80</v>
      </c>
      <c r="D721" s="24" t="s">
        <v>64</v>
      </c>
      <c r="E721" s="25">
        <v>2926.14</v>
      </c>
      <c r="F721" s="25">
        <v>2353.9699999999998</v>
      </c>
      <c r="G721" s="26">
        <f>T_Ventes[[#This Row],[CA HT]]-T_Ventes[[#This Row],[Coût achat HT]]</f>
        <v>572.17000000000007</v>
      </c>
      <c r="H721" s="27">
        <f>DATE(YEAR(T_Ventes[[#This Row],[Date facture]]),MONTH(T_Ventes[[#This Row],[Date facture]]),1)</f>
        <v>46143</v>
      </c>
      <c r="I721" s="28">
        <f>YEAR(T_Ventes[[#This Row],[Date facture]])</f>
        <v>2026</v>
      </c>
    </row>
    <row r="722" spans="1:9" x14ac:dyDescent="0.3">
      <c r="A722" s="23">
        <v>46151</v>
      </c>
      <c r="B722" s="24" t="s">
        <v>817</v>
      </c>
      <c r="C722" s="24" t="s">
        <v>68</v>
      </c>
      <c r="D722" s="24" t="s">
        <v>57</v>
      </c>
      <c r="E722" s="25">
        <v>5954.22</v>
      </c>
      <c r="F722" s="25">
        <v>3904.73</v>
      </c>
      <c r="G722" s="26">
        <f>T_Ventes[[#This Row],[CA HT]]-T_Ventes[[#This Row],[Coût achat HT]]</f>
        <v>2049.4900000000002</v>
      </c>
      <c r="H722" s="27">
        <f>DATE(YEAR(T_Ventes[[#This Row],[Date facture]]),MONTH(T_Ventes[[#This Row],[Date facture]]),1)</f>
        <v>46143</v>
      </c>
      <c r="I722" s="28">
        <f>YEAR(T_Ventes[[#This Row],[Date facture]])</f>
        <v>2026</v>
      </c>
    </row>
    <row r="723" spans="1:9" x14ac:dyDescent="0.3">
      <c r="A723" s="23">
        <v>46151</v>
      </c>
      <c r="B723" s="24" t="s">
        <v>818</v>
      </c>
      <c r="C723" s="24" t="s">
        <v>410</v>
      </c>
      <c r="D723" s="24" t="s">
        <v>57</v>
      </c>
      <c r="E723" s="25">
        <v>1513.95</v>
      </c>
      <c r="F723" s="25">
        <v>993.12</v>
      </c>
      <c r="G723" s="26">
        <f>T_Ventes[[#This Row],[CA HT]]-T_Ventes[[#This Row],[Coût achat HT]]</f>
        <v>520.83000000000004</v>
      </c>
      <c r="H723" s="27">
        <f>DATE(YEAR(T_Ventes[[#This Row],[Date facture]]),MONTH(T_Ventes[[#This Row],[Date facture]]),1)</f>
        <v>46143</v>
      </c>
      <c r="I723" s="28">
        <f>YEAR(T_Ventes[[#This Row],[Date facture]])</f>
        <v>2026</v>
      </c>
    </row>
    <row r="724" spans="1:9" x14ac:dyDescent="0.3">
      <c r="A724" s="23">
        <v>46152</v>
      </c>
      <c r="B724" s="24" t="s">
        <v>819</v>
      </c>
      <c r="C724" s="24" t="s">
        <v>208</v>
      </c>
      <c r="D724" s="24" t="s">
        <v>64</v>
      </c>
      <c r="E724" s="25">
        <v>6141.95</v>
      </c>
      <c r="F724" s="25">
        <v>5011.6899999999996</v>
      </c>
      <c r="G724" s="26">
        <f>T_Ventes[[#This Row],[CA HT]]-T_Ventes[[#This Row],[Coût achat HT]]</f>
        <v>1130.2600000000002</v>
      </c>
      <c r="H724" s="27">
        <f>DATE(YEAR(T_Ventes[[#This Row],[Date facture]]),MONTH(T_Ventes[[#This Row],[Date facture]]),1)</f>
        <v>46143</v>
      </c>
      <c r="I724" s="28">
        <f>YEAR(T_Ventes[[#This Row],[Date facture]])</f>
        <v>2026</v>
      </c>
    </row>
    <row r="725" spans="1:9" x14ac:dyDescent="0.3">
      <c r="A725" s="23">
        <v>46152</v>
      </c>
      <c r="B725" s="24" t="s">
        <v>820</v>
      </c>
      <c r="C725" s="24" t="s">
        <v>115</v>
      </c>
      <c r="D725" s="24" t="s">
        <v>64</v>
      </c>
      <c r="E725" s="25">
        <v>1606.89</v>
      </c>
      <c r="F725" s="25">
        <v>1286.5899999999999</v>
      </c>
      <c r="G725" s="26">
        <f>T_Ventes[[#This Row],[CA HT]]-T_Ventes[[#This Row],[Coût achat HT]]</f>
        <v>320.30000000000018</v>
      </c>
      <c r="H725" s="27">
        <f>DATE(YEAR(T_Ventes[[#This Row],[Date facture]]),MONTH(T_Ventes[[#This Row],[Date facture]]),1)</f>
        <v>46143</v>
      </c>
      <c r="I725" s="28">
        <f>YEAR(T_Ventes[[#This Row],[Date facture]])</f>
        <v>2026</v>
      </c>
    </row>
    <row r="726" spans="1:9" x14ac:dyDescent="0.3">
      <c r="A726" s="23">
        <v>46152</v>
      </c>
      <c r="B726" s="24" t="s">
        <v>821</v>
      </c>
      <c r="C726" s="24" t="s">
        <v>80</v>
      </c>
      <c r="D726" s="24" t="s">
        <v>57</v>
      </c>
      <c r="E726" s="25">
        <v>1568.71</v>
      </c>
      <c r="F726" s="25">
        <v>1009.08</v>
      </c>
      <c r="G726" s="26">
        <f>T_Ventes[[#This Row],[CA HT]]-T_Ventes[[#This Row],[Coût achat HT]]</f>
        <v>559.63</v>
      </c>
      <c r="H726" s="27">
        <f>DATE(YEAR(T_Ventes[[#This Row],[Date facture]]),MONTH(T_Ventes[[#This Row],[Date facture]]),1)</f>
        <v>46143</v>
      </c>
      <c r="I726" s="28">
        <f>YEAR(T_Ventes[[#This Row],[Date facture]])</f>
        <v>2026</v>
      </c>
    </row>
    <row r="727" spans="1:9" x14ac:dyDescent="0.3">
      <c r="A727" s="23">
        <v>46152</v>
      </c>
      <c r="B727" s="24" t="s">
        <v>822</v>
      </c>
      <c r="C727" s="24" t="s">
        <v>100</v>
      </c>
      <c r="D727" s="24" t="s">
        <v>57</v>
      </c>
      <c r="E727" s="25">
        <v>3560.12</v>
      </c>
      <c r="F727" s="25">
        <v>2402.4299999999998</v>
      </c>
      <c r="G727" s="26">
        <f>T_Ventes[[#This Row],[CA HT]]-T_Ventes[[#This Row],[Coût achat HT]]</f>
        <v>1157.69</v>
      </c>
      <c r="H727" s="27">
        <f>DATE(YEAR(T_Ventes[[#This Row],[Date facture]]),MONTH(T_Ventes[[#This Row],[Date facture]]),1)</f>
        <v>46143</v>
      </c>
      <c r="I727" s="28">
        <f>YEAR(T_Ventes[[#This Row],[Date facture]])</f>
        <v>2026</v>
      </c>
    </row>
    <row r="728" spans="1:9" x14ac:dyDescent="0.3">
      <c r="A728" s="23">
        <v>46152</v>
      </c>
      <c r="B728" s="24" t="s">
        <v>823</v>
      </c>
      <c r="C728" s="24" t="s">
        <v>66</v>
      </c>
      <c r="D728" s="24" t="s">
        <v>71</v>
      </c>
      <c r="E728" s="25">
        <v>1317.47</v>
      </c>
      <c r="F728" s="25">
        <v>789.52</v>
      </c>
      <c r="G728" s="26">
        <f>T_Ventes[[#This Row],[CA HT]]-T_Ventes[[#This Row],[Coût achat HT]]</f>
        <v>527.95000000000005</v>
      </c>
      <c r="H728" s="27">
        <f>DATE(YEAR(T_Ventes[[#This Row],[Date facture]]),MONTH(T_Ventes[[#This Row],[Date facture]]),1)</f>
        <v>46143</v>
      </c>
      <c r="I728" s="28">
        <f>YEAR(T_Ventes[[#This Row],[Date facture]])</f>
        <v>2026</v>
      </c>
    </row>
    <row r="729" spans="1:9" x14ac:dyDescent="0.3">
      <c r="A729" s="23">
        <v>46153</v>
      </c>
      <c r="B729" s="24" t="s">
        <v>824</v>
      </c>
      <c r="C729" s="24" t="s">
        <v>252</v>
      </c>
      <c r="D729" s="24" t="s">
        <v>64</v>
      </c>
      <c r="E729" s="25">
        <v>6680.73</v>
      </c>
      <c r="F729" s="25">
        <v>5351.64</v>
      </c>
      <c r="G729" s="26">
        <f>T_Ventes[[#This Row],[CA HT]]-T_Ventes[[#This Row],[Coût achat HT]]</f>
        <v>1329.0899999999992</v>
      </c>
      <c r="H729" s="27">
        <f>DATE(YEAR(T_Ventes[[#This Row],[Date facture]]),MONTH(T_Ventes[[#This Row],[Date facture]]),1)</f>
        <v>46143</v>
      </c>
      <c r="I729" s="28">
        <f>YEAR(T_Ventes[[#This Row],[Date facture]])</f>
        <v>2026</v>
      </c>
    </row>
    <row r="730" spans="1:9" x14ac:dyDescent="0.3">
      <c r="A730" s="23">
        <v>46153</v>
      </c>
      <c r="B730" s="24" t="s">
        <v>825</v>
      </c>
      <c r="C730" s="24" t="s">
        <v>94</v>
      </c>
      <c r="D730" s="24" t="s">
        <v>64</v>
      </c>
      <c r="E730" s="25">
        <v>3656.66</v>
      </c>
      <c r="F730" s="25">
        <v>2945.93</v>
      </c>
      <c r="G730" s="26">
        <f>T_Ventes[[#This Row],[CA HT]]-T_Ventes[[#This Row],[Coût achat HT]]</f>
        <v>710.73</v>
      </c>
      <c r="H730" s="27">
        <f>DATE(YEAR(T_Ventes[[#This Row],[Date facture]]),MONTH(T_Ventes[[#This Row],[Date facture]]),1)</f>
        <v>46143</v>
      </c>
      <c r="I730" s="28">
        <f>YEAR(T_Ventes[[#This Row],[Date facture]])</f>
        <v>2026</v>
      </c>
    </row>
    <row r="731" spans="1:9" x14ac:dyDescent="0.3">
      <c r="A731" s="23">
        <v>46154</v>
      </c>
      <c r="B731" s="24" t="s">
        <v>826</v>
      </c>
      <c r="C731" s="24" t="s">
        <v>63</v>
      </c>
      <c r="D731" s="24" t="s">
        <v>57</v>
      </c>
      <c r="E731" s="25">
        <v>2816.09</v>
      </c>
      <c r="F731" s="25">
        <v>1816.69</v>
      </c>
      <c r="G731" s="26">
        <f>T_Ventes[[#This Row],[CA HT]]-T_Ventes[[#This Row],[Coût achat HT]]</f>
        <v>999.40000000000009</v>
      </c>
      <c r="H731" s="27">
        <f>DATE(YEAR(T_Ventes[[#This Row],[Date facture]]),MONTH(T_Ventes[[#This Row],[Date facture]]),1)</f>
        <v>46143</v>
      </c>
      <c r="I731" s="28">
        <f>YEAR(T_Ventes[[#This Row],[Date facture]])</f>
        <v>2026</v>
      </c>
    </row>
    <row r="732" spans="1:9" x14ac:dyDescent="0.3">
      <c r="A732" s="23">
        <v>46154</v>
      </c>
      <c r="B732" s="24" t="s">
        <v>827</v>
      </c>
      <c r="C732" s="24" t="s">
        <v>56</v>
      </c>
      <c r="D732" s="24" t="s">
        <v>71</v>
      </c>
      <c r="E732" s="25">
        <v>4514.6400000000003</v>
      </c>
      <c r="F732" s="25">
        <v>2648.82</v>
      </c>
      <c r="G732" s="26">
        <f>T_Ventes[[#This Row],[CA HT]]-T_Ventes[[#This Row],[Coût achat HT]]</f>
        <v>1865.8200000000002</v>
      </c>
      <c r="H732" s="27">
        <f>DATE(YEAR(T_Ventes[[#This Row],[Date facture]]),MONTH(T_Ventes[[#This Row],[Date facture]]),1)</f>
        <v>46143</v>
      </c>
      <c r="I732" s="28">
        <f>YEAR(T_Ventes[[#This Row],[Date facture]])</f>
        <v>2026</v>
      </c>
    </row>
    <row r="733" spans="1:9" x14ac:dyDescent="0.3">
      <c r="A733" s="23">
        <v>46155</v>
      </c>
      <c r="B733" s="24" t="s">
        <v>828</v>
      </c>
      <c r="C733" s="24" t="s">
        <v>63</v>
      </c>
      <c r="D733" s="24" t="s">
        <v>57</v>
      </c>
      <c r="E733" s="25">
        <v>5311.25</v>
      </c>
      <c r="F733" s="25">
        <v>3544.48</v>
      </c>
      <c r="G733" s="26">
        <f>T_Ventes[[#This Row],[CA HT]]-T_Ventes[[#This Row],[Coût achat HT]]</f>
        <v>1766.77</v>
      </c>
      <c r="H733" s="27">
        <f>DATE(YEAR(T_Ventes[[#This Row],[Date facture]]),MONTH(T_Ventes[[#This Row],[Date facture]]),1)</f>
        <v>46143</v>
      </c>
      <c r="I733" s="28">
        <f>YEAR(T_Ventes[[#This Row],[Date facture]])</f>
        <v>2026</v>
      </c>
    </row>
    <row r="734" spans="1:9" x14ac:dyDescent="0.3">
      <c r="A734" s="23">
        <v>46156</v>
      </c>
      <c r="B734" s="24" t="s">
        <v>829</v>
      </c>
      <c r="C734" s="24" t="s">
        <v>76</v>
      </c>
      <c r="D734" s="24" t="s">
        <v>57</v>
      </c>
      <c r="E734" s="25">
        <v>5878.28</v>
      </c>
      <c r="F734" s="25">
        <v>3958.45</v>
      </c>
      <c r="G734" s="26">
        <f>T_Ventes[[#This Row],[CA HT]]-T_Ventes[[#This Row],[Coût achat HT]]</f>
        <v>1919.83</v>
      </c>
      <c r="H734" s="27">
        <f>DATE(YEAR(T_Ventes[[#This Row],[Date facture]]),MONTH(T_Ventes[[#This Row],[Date facture]]),1)</f>
        <v>46143</v>
      </c>
      <c r="I734" s="28">
        <f>YEAR(T_Ventes[[#This Row],[Date facture]])</f>
        <v>2026</v>
      </c>
    </row>
    <row r="735" spans="1:9" x14ac:dyDescent="0.3">
      <c r="A735" s="23">
        <v>46156</v>
      </c>
      <c r="B735" s="24" t="s">
        <v>830</v>
      </c>
      <c r="C735" s="24" t="s">
        <v>244</v>
      </c>
      <c r="D735" s="24" t="s">
        <v>57</v>
      </c>
      <c r="E735" s="25">
        <v>5256.68</v>
      </c>
      <c r="F735" s="25">
        <v>3539.03</v>
      </c>
      <c r="G735" s="26">
        <f>T_Ventes[[#This Row],[CA HT]]-T_Ventes[[#This Row],[Coût achat HT]]</f>
        <v>1717.65</v>
      </c>
      <c r="H735" s="27">
        <f>DATE(YEAR(T_Ventes[[#This Row],[Date facture]]),MONTH(T_Ventes[[#This Row],[Date facture]]),1)</f>
        <v>46143</v>
      </c>
      <c r="I735" s="28">
        <f>YEAR(T_Ventes[[#This Row],[Date facture]])</f>
        <v>2026</v>
      </c>
    </row>
    <row r="736" spans="1:9" x14ac:dyDescent="0.3">
      <c r="A736" s="23">
        <v>46158</v>
      </c>
      <c r="B736" s="24" t="s">
        <v>831</v>
      </c>
      <c r="C736" s="24" t="s">
        <v>56</v>
      </c>
      <c r="D736" s="24" t="s">
        <v>64</v>
      </c>
      <c r="E736" s="25">
        <v>4844.3999999999996</v>
      </c>
      <c r="F736" s="25">
        <v>3879.11</v>
      </c>
      <c r="G736" s="26">
        <f>T_Ventes[[#This Row],[CA HT]]-T_Ventes[[#This Row],[Coût achat HT]]</f>
        <v>965.28999999999951</v>
      </c>
      <c r="H736" s="27">
        <f>DATE(YEAR(T_Ventes[[#This Row],[Date facture]]),MONTH(T_Ventes[[#This Row],[Date facture]]),1)</f>
        <v>46143</v>
      </c>
      <c r="I736" s="28">
        <f>YEAR(T_Ventes[[#This Row],[Date facture]])</f>
        <v>2026</v>
      </c>
    </row>
    <row r="737" spans="1:9" x14ac:dyDescent="0.3">
      <c r="A737" s="23">
        <v>46158</v>
      </c>
      <c r="B737" s="24" t="s">
        <v>832</v>
      </c>
      <c r="C737" s="24" t="s">
        <v>56</v>
      </c>
      <c r="D737" s="24" t="s">
        <v>57</v>
      </c>
      <c r="E737" s="25">
        <v>5400.83</v>
      </c>
      <c r="F737" s="25">
        <v>3513.76</v>
      </c>
      <c r="G737" s="26">
        <f>T_Ventes[[#This Row],[CA HT]]-T_Ventes[[#This Row],[Coût achat HT]]</f>
        <v>1887.0699999999997</v>
      </c>
      <c r="H737" s="27">
        <f>DATE(YEAR(T_Ventes[[#This Row],[Date facture]]),MONTH(T_Ventes[[#This Row],[Date facture]]),1)</f>
        <v>46143</v>
      </c>
      <c r="I737" s="28">
        <f>YEAR(T_Ventes[[#This Row],[Date facture]])</f>
        <v>2026</v>
      </c>
    </row>
    <row r="738" spans="1:9" x14ac:dyDescent="0.3">
      <c r="A738" s="23">
        <v>46158</v>
      </c>
      <c r="B738" s="24" t="s">
        <v>833</v>
      </c>
      <c r="C738" s="24" t="s">
        <v>56</v>
      </c>
      <c r="D738" s="24" t="s">
        <v>57</v>
      </c>
      <c r="E738" s="25">
        <v>3770.48</v>
      </c>
      <c r="F738" s="25">
        <v>2447.44</v>
      </c>
      <c r="G738" s="26">
        <f>T_Ventes[[#This Row],[CA HT]]-T_Ventes[[#This Row],[Coût achat HT]]</f>
        <v>1323.04</v>
      </c>
      <c r="H738" s="27">
        <f>DATE(YEAR(T_Ventes[[#This Row],[Date facture]]),MONTH(T_Ventes[[#This Row],[Date facture]]),1)</f>
        <v>46143</v>
      </c>
      <c r="I738" s="28">
        <f>YEAR(T_Ventes[[#This Row],[Date facture]])</f>
        <v>2026</v>
      </c>
    </row>
    <row r="739" spans="1:9" x14ac:dyDescent="0.3">
      <c r="A739" s="23">
        <v>46158</v>
      </c>
      <c r="B739" s="24" t="s">
        <v>834</v>
      </c>
      <c r="C739" s="24" t="s">
        <v>63</v>
      </c>
      <c r="D739" s="24" t="s">
        <v>57</v>
      </c>
      <c r="E739" s="25">
        <v>2644.17</v>
      </c>
      <c r="F739" s="25">
        <v>1737.25</v>
      </c>
      <c r="G739" s="26">
        <f>T_Ventes[[#This Row],[CA HT]]-T_Ventes[[#This Row],[Coût achat HT]]</f>
        <v>906.92000000000007</v>
      </c>
      <c r="H739" s="27">
        <f>DATE(YEAR(T_Ventes[[#This Row],[Date facture]]),MONTH(T_Ventes[[#This Row],[Date facture]]),1)</f>
        <v>46143</v>
      </c>
      <c r="I739" s="28">
        <f>YEAR(T_Ventes[[#This Row],[Date facture]])</f>
        <v>2026</v>
      </c>
    </row>
    <row r="740" spans="1:9" x14ac:dyDescent="0.3">
      <c r="A740" s="23">
        <v>46158</v>
      </c>
      <c r="B740" s="24" t="s">
        <v>835</v>
      </c>
      <c r="C740" s="24" t="s">
        <v>56</v>
      </c>
      <c r="D740" s="24" t="s">
        <v>59</v>
      </c>
      <c r="E740" s="25">
        <v>1301.04</v>
      </c>
      <c r="F740" s="25">
        <v>496.96</v>
      </c>
      <c r="G740" s="26">
        <f>T_Ventes[[#This Row],[CA HT]]-T_Ventes[[#This Row],[Coût achat HT]]</f>
        <v>804.07999999999993</v>
      </c>
      <c r="H740" s="27">
        <f>DATE(YEAR(T_Ventes[[#This Row],[Date facture]]),MONTH(T_Ventes[[#This Row],[Date facture]]),1)</f>
        <v>46143</v>
      </c>
      <c r="I740" s="28">
        <f>YEAR(T_Ventes[[#This Row],[Date facture]])</f>
        <v>2026</v>
      </c>
    </row>
    <row r="741" spans="1:9" x14ac:dyDescent="0.3">
      <c r="A741" s="23">
        <v>46160</v>
      </c>
      <c r="B741" s="24" t="s">
        <v>836</v>
      </c>
      <c r="C741" s="24" t="s">
        <v>354</v>
      </c>
      <c r="D741" s="24" t="s">
        <v>64</v>
      </c>
      <c r="E741" s="25">
        <v>2126.96</v>
      </c>
      <c r="F741" s="25">
        <v>1733.19</v>
      </c>
      <c r="G741" s="26">
        <f>T_Ventes[[#This Row],[CA HT]]-T_Ventes[[#This Row],[Coût achat HT]]</f>
        <v>393.77</v>
      </c>
      <c r="H741" s="27">
        <f>DATE(YEAR(T_Ventes[[#This Row],[Date facture]]),MONTH(T_Ventes[[#This Row],[Date facture]]),1)</f>
        <v>46143</v>
      </c>
      <c r="I741" s="28">
        <f>YEAR(T_Ventes[[#This Row],[Date facture]])</f>
        <v>2026</v>
      </c>
    </row>
    <row r="742" spans="1:9" x14ac:dyDescent="0.3">
      <c r="A742" s="23">
        <v>46161</v>
      </c>
      <c r="B742" s="24" t="s">
        <v>837</v>
      </c>
      <c r="C742" s="24" t="s">
        <v>56</v>
      </c>
      <c r="D742" s="24" t="s">
        <v>64</v>
      </c>
      <c r="E742" s="25">
        <v>6656.27</v>
      </c>
      <c r="F742" s="25">
        <v>5413.26</v>
      </c>
      <c r="G742" s="26">
        <f>T_Ventes[[#This Row],[CA HT]]-T_Ventes[[#This Row],[Coût achat HT]]</f>
        <v>1243.0100000000002</v>
      </c>
      <c r="H742" s="27">
        <f>DATE(YEAR(T_Ventes[[#This Row],[Date facture]]),MONTH(T_Ventes[[#This Row],[Date facture]]),1)</f>
        <v>46143</v>
      </c>
      <c r="I742" s="28">
        <f>YEAR(T_Ventes[[#This Row],[Date facture]])</f>
        <v>2026</v>
      </c>
    </row>
    <row r="743" spans="1:9" x14ac:dyDescent="0.3">
      <c r="A743" s="23">
        <v>46161</v>
      </c>
      <c r="B743" s="24" t="s">
        <v>838</v>
      </c>
      <c r="C743" s="24" t="s">
        <v>166</v>
      </c>
      <c r="D743" s="24" t="s">
        <v>59</v>
      </c>
      <c r="E743" s="25">
        <v>1301.98</v>
      </c>
      <c r="F743" s="25">
        <v>512.23</v>
      </c>
      <c r="G743" s="26">
        <f>T_Ventes[[#This Row],[CA HT]]-T_Ventes[[#This Row],[Coût achat HT]]</f>
        <v>789.75</v>
      </c>
      <c r="H743" s="27">
        <f>DATE(YEAR(T_Ventes[[#This Row],[Date facture]]),MONTH(T_Ventes[[#This Row],[Date facture]]),1)</f>
        <v>46143</v>
      </c>
      <c r="I743" s="28">
        <f>YEAR(T_Ventes[[#This Row],[Date facture]])</f>
        <v>2026</v>
      </c>
    </row>
    <row r="744" spans="1:9" x14ac:dyDescent="0.3">
      <c r="A744" s="23">
        <v>46162</v>
      </c>
      <c r="B744" s="24" t="s">
        <v>839</v>
      </c>
      <c r="C744" s="24" t="s">
        <v>87</v>
      </c>
      <c r="D744" s="24" t="s">
        <v>59</v>
      </c>
      <c r="E744" s="25">
        <v>2612.2600000000002</v>
      </c>
      <c r="F744" s="25">
        <v>930.12</v>
      </c>
      <c r="G744" s="26">
        <f>T_Ventes[[#This Row],[CA HT]]-T_Ventes[[#This Row],[Coût achat HT]]</f>
        <v>1682.1400000000003</v>
      </c>
      <c r="H744" s="27">
        <f>DATE(YEAR(T_Ventes[[#This Row],[Date facture]]),MONTH(T_Ventes[[#This Row],[Date facture]]),1)</f>
        <v>46143</v>
      </c>
      <c r="I744" s="28">
        <f>YEAR(T_Ventes[[#This Row],[Date facture]])</f>
        <v>2026</v>
      </c>
    </row>
    <row r="745" spans="1:9" x14ac:dyDescent="0.3">
      <c r="A745" s="23">
        <v>46163</v>
      </c>
      <c r="B745" s="24" t="s">
        <v>840</v>
      </c>
      <c r="C745" s="24" t="s">
        <v>103</v>
      </c>
      <c r="D745" s="24" t="s">
        <v>57</v>
      </c>
      <c r="E745" s="25">
        <v>4479.53</v>
      </c>
      <c r="F745" s="25">
        <v>2942.54</v>
      </c>
      <c r="G745" s="26">
        <f>T_Ventes[[#This Row],[CA HT]]-T_Ventes[[#This Row],[Coût achat HT]]</f>
        <v>1536.9899999999998</v>
      </c>
      <c r="H745" s="27">
        <f>DATE(YEAR(T_Ventes[[#This Row],[Date facture]]),MONTH(T_Ventes[[#This Row],[Date facture]]),1)</f>
        <v>46143</v>
      </c>
      <c r="I745" s="28">
        <f>YEAR(T_Ventes[[#This Row],[Date facture]])</f>
        <v>2026</v>
      </c>
    </row>
    <row r="746" spans="1:9" x14ac:dyDescent="0.3">
      <c r="A746" s="23">
        <v>46164</v>
      </c>
      <c r="B746" s="24" t="s">
        <v>841</v>
      </c>
      <c r="C746" s="24" t="s">
        <v>96</v>
      </c>
      <c r="D746" s="24" t="s">
        <v>64</v>
      </c>
      <c r="E746" s="25">
        <v>5494.87</v>
      </c>
      <c r="F746" s="25">
        <v>4492.63</v>
      </c>
      <c r="G746" s="26">
        <f>T_Ventes[[#This Row],[CA HT]]-T_Ventes[[#This Row],[Coût achat HT]]</f>
        <v>1002.2399999999998</v>
      </c>
      <c r="H746" s="27">
        <f>DATE(YEAR(T_Ventes[[#This Row],[Date facture]]),MONTH(T_Ventes[[#This Row],[Date facture]]),1)</f>
        <v>46143</v>
      </c>
      <c r="I746" s="28">
        <f>YEAR(T_Ventes[[#This Row],[Date facture]])</f>
        <v>2026</v>
      </c>
    </row>
    <row r="747" spans="1:9" x14ac:dyDescent="0.3">
      <c r="A747" s="23">
        <v>46164</v>
      </c>
      <c r="B747" s="24" t="s">
        <v>842</v>
      </c>
      <c r="C747" s="24" t="s">
        <v>173</v>
      </c>
      <c r="D747" s="24" t="s">
        <v>64</v>
      </c>
      <c r="E747" s="25">
        <v>7241.15</v>
      </c>
      <c r="F747" s="25">
        <v>5829.66</v>
      </c>
      <c r="G747" s="26">
        <f>T_Ventes[[#This Row],[CA HT]]-T_Ventes[[#This Row],[Coût achat HT]]</f>
        <v>1411.4899999999998</v>
      </c>
      <c r="H747" s="27">
        <f>DATE(YEAR(T_Ventes[[#This Row],[Date facture]]),MONTH(T_Ventes[[#This Row],[Date facture]]),1)</f>
        <v>46143</v>
      </c>
      <c r="I747" s="28">
        <f>YEAR(T_Ventes[[#This Row],[Date facture]])</f>
        <v>2026</v>
      </c>
    </row>
    <row r="748" spans="1:9" x14ac:dyDescent="0.3">
      <c r="A748" s="23">
        <v>46164</v>
      </c>
      <c r="B748" s="24" t="s">
        <v>843</v>
      </c>
      <c r="C748" s="24" t="s">
        <v>61</v>
      </c>
      <c r="D748" s="24" t="s">
        <v>71</v>
      </c>
      <c r="E748" s="25">
        <v>4999.91</v>
      </c>
      <c r="F748" s="25">
        <v>3039.85</v>
      </c>
      <c r="G748" s="26">
        <f>T_Ventes[[#This Row],[CA HT]]-T_Ventes[[#This Row],[Coût achat HT]]</f>
        <v>1960.06</v>
      </c>
      <c r="H748" s="27">
        <f>DATE(YEAR(T_Ventes[[#This Row],[Date facture]]),MONTH(T_Ventes[[#This Row],[Date facture]]),1)</f>
        <v>46143</v>
      </c>
      <c r="I748" s="28">
        <f>YEAR(T_Ventes[[#This Row],[Date facture]])</f>
        <v>2026</v>
      </c>
    </row>
    <row r="749" spans="1:9" x14ac:dyDescent="0.3">
      <c r="A749" s="23">
        <v>46165</v>
      </c>
      <c r="B749" s="24" t="s">
        <v>844</v>
      </c>
      <c r="C749" s="24" t="s">
        <v>292</v>
      </c>
      <c r="D749" s="24" t="s">
        <v>64</v>
      </c>
      <c r="E749" s="25">
        <v>7080.11</v>
      </c>
      <c r="F749" s="25">
        <v>5741.56</v>
      </c>
      <c r="G749" s="26">
        <f>T_Ventes[[#This Row],[CA HT]]-T_Ventes[[#This Row],[Coût achat HT]]</f>
        <v>1338.5499999999993</v>
      </c>
      <c r="H749" s="27">
        <f>DATE(YEAR(T_Ventes[[#This Row],[Date facture]]),MONTH(T_Ventes[[#This Row],[Date facture]]),1)</f>
        <v>46143</v>
      </c>
      <c r="I749" s="28">
        <f>YEAR(T_Ventes[[#This Row],[Date facture]])</f>
        <v>2026</v>
      </c>
    </row>
    <row r="750" spans="1:9" x14ac:dyDescent="0.3">
      <c r="A750" s="23">
        <v>46166</v>
      </c>
      <c r="B750" s="24" t="s">
        <v>845</v>
      </c>
      <c r="C750" s="24" t="s">
        <v>410</v>
      </c>
      <c r="D750" s="24" t="s">
        <v>64</v>
      </c>
      <c r="E750" s="25">
        <v>3441.13</v>
      </c>
      <c r="F750" s="25">
        <v>2806.69</v>
      </c>
      <c r="G750" s="26">
        <f>T_Ventes[[#This Row],[CA HT]]-T_Ventes[[#This Row],[Coût achat HT]]</f>
        <v>634.44000000000005</v>
      </c>
      <c r="H750" s="27">
        <f>DATE(YEAR(T_Ventes[[#This Row],[Date facture]]),MONTH(T_Ventes[[#This Row],[Date facture]]),1)</f>
        <v>46143</v>
      </c>
      <c r="I750" s="28">
        <f>YEAR(T_Ventes[[#This Row],[Date facture]])</f>
        <v>2026</v>
      </c>
    </row>
    <row r="751" spans="1:9" x14ac:dyDescent="0.3">
      <c r="A751" s="23">
        <v>46166</v>
      </c>
      <c r="B751" s="24" t="s">
        <v>846</v>
      </c>
      <c r="C751" s="24" t="s">
        <v>56</v>
      </c>
      <c r="D751" s="24" t="s">
        <v>71</v>
      </c>
      <c r="E751" s="25">
        <v>1869.65</v>
      </c>
      <c r="F751" s="25">
        <v>1098.01</v>
      </c>
      <c r="G751" s="26">
        <f>T_Ventes[[#This Row],[CA HT]]-T_Ventes[[#This Row],[Coût achat HT]]</f>
        <v>771.6400000000001</v>
      </c>
      <c r="H751" s="27">
        <f>DATE(YEAR(T_Ventes[[#This Row],[Date facture]]),MONTH(T_Ventes[[#This Row],[Date facture]]),1)</f>
        <v>46143</v>
      </c>
      <c r="I751" s="28">
        <f>YEAR(T_Ventes[[#This Row],[Date facture]])</f>
        <v>2026</v>
      </c>
    </row>
    <row r="752" spans="1:9" x14ac:dyDescent="0.3">
      <c r="A752" s="23">
        <v>46167</v>
      </c>
      <c r="B752" s="24" t="s">
        <v>847</v>
      </c>
      <c r="C752" s="24" t="s">
        <v>63</v>
      </c>
      <c r="D752" s="24" t="s">
        <v>64</v>
      </c>
      <c r="E752" s="25">
        <v>5873.88</v>
      </c>
      <c r="F752" s="25">
        <v>4741.67</v>
      </c>
      <c r="G752" s="26">
        <f>T_Ventes[[#This Row],[CA HT]]-T_Ventes[[#This Row],[Coût achat HT]]</f>
        <v>1132.21</v>
      </c>
      <c r="H752" s="27">
        <f>DATE(YEAR(T_Ventes[[#This Row],[Date facture]]),MONTH(T_Ventes[[#This Row],[Date facture]]),1)</f>
        <v>46143</v>
      </c>
      <c r="I752" s="28">
        <f>YEAR(T_Ventes[[#This Row],[Date facture]])</f>
        <v>2026</v>
      </c>
    </row>
    <row r="753" spans="1:9" x14ac:dyDescent="0.3">
      <c r="A753" s="23">
        <v>46167</v>
      </c>
      <c r="B753" s="24" t="s">
        <v>848</v>
      </c>
      <c r="C753" s="24" t="s">
        <v>63</v>
      </c>
      <c r="D753" s="24" t="s">
        <v>64</v>
      </c>
      <c r="E753" s="25">
        <v>3601.11</v>
      </c>
      <c r="F753" s="25">
        <v>2911.74</v>
      </c>
      <c r="G753" s="26">
        <f>T_Ventes[[#This Row],[CA HT]]-T_Ventes[[#This Row],[Coût achat HT]]</f>
        <v>689.37000000000035</v>
      </c>
      <c r="H753" s="27">
        <f>DATE(YEAR(T_Ventes[[#This Row],[Date facture]]),MONTH(T_Ventes[[#This Row],[Date facture]]),1)</f>
        <v>46143</v>
      </c>
      <c r="I753" s="28">
        <f>YEAR(T_Ventes[[#This Row],[Date facture]])</f>
        <v>2026</v>
      </c>
    </row>
    <row r="754" spans="1:9" x14ac:dyDescent="0.3">
      <c r="A754" s="23">
        <v>46167</v>
      </c>
      <c r="B754" s="24" t="s">
        <v>849</v>
      </c>
      <c r="C754" s="24" t="s">
        <v>76</v>
      </c>
      <c r="D754" s="24" t="s">
        <v>71</v>
      </c>
      <c r="E754" s="25">
        <v>5261.66</v>
      </c>
      <c r="F754" s="25">
        <v>3150.59</v>
      </c>
      <c r="G754" s="26">
        <f>T_Ventes[[#This Row],[CA HT]]-T_Ventes[[#This Row],[Coût achat HT]]</f>
        <v>2111.0699999999997</v>
      </c>
      <c r="H754" s="27">
        <f>DATE(YEAR(T_Ventes[[#This Row],[Date facture]]),MONTH(T_Ventes[[#This Row],[Date facture]]),1)</f>
        <v>46143</v>
      </c>
      <c r="I754" s="28">
        <f>YEAR(T_Ventes[[#This Row],[Date facture]])</f>
        <v>2026</v>
      </c>
    </row>
    <row r="755" spans="1:9" x14ac:dyDescent="0.3">
      <c r="A755" s="23">
        <v>46168</v>
      </c>
      <c r="B755" s="24" t="s">
        <v>850</v>
      </c>
      <c r="C755" s="24" t="s">
        <v>175</v>
      </c>
      <c r="D755" s="24" t="s">
        <v>57</v>
      </c>
      <c r="E755" s="25">
        <v>1267.8</v>
      </c>
      <c r="F755" s="25">
        <v>819.88</v>
      </c>
      <c r="G755" s="26">
        <f>T_Ventes[[#This Row],[CA HT]]-T_Ventes[[#This Row],[Coût achat HT]]</f>
        <v>447.91999999999996</v>
      </c>
      <c r="H755" s="27">
        <f>DATE(YEAR(T_Ventes[[#This Row],[Date facture]]),MONTH(T_Ventes[[#This Row],[Date facture]]),1)</f>
        <v>46143</v>
      </c>
      <c r="I755" s="28">
        <f>YEAR(T_Ventes[[#This Row],[Date facture]])</f>
        <v>2026</v>
      </c>
    </row>
    <row r="756" spans="1:9" x14ac:dyDescent="0.3">
      <c r="A756" s="23">
        <v>46169</v>
      </c>
      <c r="B756" s="24" t="s">
        <v>851</v>
      </c>
      <c r="C756" s="24" t="s">
        <v>105</v>
      </c>
      <c r="D756" s="24" t="s">
        <v>71</v>
      </c>
      <c r="E756" s="25">
        <v>6536.29</v>
      </c>
      <c r="F756" s="25">
        <v>3886.21</v>
      </c>
      <c r="G756" s="26">
        <f>T_Ventes[[#This Row],[CA HT]]-T_Ventes[[#This Row],[Coût achat HT]]</f>
        <v>2650.08</v>
      </c>
      <c r="H756" s="27">
        <f>DATE(YEAR(T_Ventes[[#This Row],[Date facture]]),MONTH(T_Ventes[[#This Row],[Date facture]]),1)</f>
        <v>46143</v>
      </c>
      <c r="I756" s="28">
        <f>YEAR(T_Ventes[[#This Row],[Date facture]])</f>
        <v>2026</v>
      </c>
    </row>
    <row r="757" spans="1:9" x14ac:dyDescent="0.3">
      <c r="A757" s="23">
        <v>46169</v>
      </c>
      <c r="B757" s="24" t="s">
        <v>852</v>
      </c>
      <c r="C757" s="24" t="s">
        <v>76</v>
      </c>
      <c r="D757" s="24" t="s">
        <v>71</v>
      </c>
      <c r="E757" s="25">
        <v>6716.82</v>
      </c>
      <c r="F757" s="25">
        <v>4008.27</v>
      </c>
      <c r="G757" s="26">
        <f>T_Ventes[[#This Row],[CA HT]]-T_Ventes[[#This Row],[Coût achat HT]]</f>
        <v>2708.5499999999997</v>
      </c>
      <c r="H757" s="27">
        <f>DATE(YEAR(T_Ventes[[#This Row],[Date facture]]),MONTH(T_Ventes[[#This Row],[Date facture]]),1)</f>
        <v>46143</v>
      </c>
      <c r="I757" s="28">
        <f>YEAR(T_Ventes[[#This Row],[Date facture]])</f>
        <v>2026</v>
      </c>
    </row>
    <row r="758" spans="1:9" x14ac:dyDescent="0.3">
      <c r="A758" s="23">
        <v>46170</v>
      </c>
      <c r="B758" s="24" t="s">
        <v>853</v>
      </c>
      <c r="C758" s="24" t="s">
        <v>80</v>
      </c>
      <c r="D758" s="24" t="s">
        <v>57</v>
      </c>
      <c r="E758" s="25">
        <v>2629.69</v>
      </c>
      <c r="F758" s="25">
        <v>1771.29</v>
      </c>
      <c r="G758" s="26">
        <f>T_Ventes[[#This Row],[CA HT]]-T_Ventes[[#This Row],[Coût achat HT]]</f>
        <v>858.40000000000009</v>
      </c>
      <c r="H758" s="27">
        <f>DATE(YEAR(T_Ventes[[#This Row],[Date facture]]),MONTH(T_Ventes[[#This Row],[Date facture]]),1)</f>
        <v>46143</v>
      </c>
      <c r="I758" s="28">
        <f>YEAR(T_Ventes[[#This Row],[Date facture]])</f>
        <v>2026</v>
      </c>
    </row>
    <row r="759" spans="1:9" x14ac:dyDescent="0.3">
      <c r="A759" s="23">
        <v>46170</v>
      </c>
      <c r="B759" s="24" t="s">
        <v>854</v>
      </c>
      <c r="C759" s="24" t="s">
        <v>61</v>
      </c>
      <c r="D759" s="24" t="s">
        <v>59</v>
      </c>
      <c r="E759" s="25">
        <v>7257.48</v>
      </c>
      <c r="F759" s="25">
        <v>2857.85</v>
      </c>
      <c r="G759" s="26">
        <f>T_Ventes[[#This Row],[CA HT]]-T_Ventes[[#This Row],[Coût achat HT]]</f>
        <v>4399.6299999999992</v>
      </c>
      <c r="H759" s="27">
        <f>DATE(YEAR(T_Ventes[[#This Row],[Date facture]]),MONTH(T_Ventes[[#This Row],[Date facture]]),1)</f>
        <v>46143</v>
      </c>
      <c r="I759" s="28">
        <f>YEAR(T_Ventes[[#This Row],[Date facture]])</f>
        <v>2026</v>
      </c>
    </row>
    <row r="760" spans="1:9" x14ac:dyDescent="0.3">
      <c r="A760" s="23">
        <v>46175</v>
      </c>
      <c r="B760" s="24" t="s">
        <v>855</v>
      </c>
      <c r="C760" s="24" t="s">
        <v>108</v>
      </c>
      <c r="D760" s="24" t="s">
        <v>64</v>
      </c>
      <c r="E760" s="25">
        <v>4705.12</v>
      </c>
      <c r="F760" s="25">
        <v>3814.01</v>
      </c>
      <c r="G760" s="26">
        <f>T_Ventes[[#This Row],[CA HT]]-T_Ventes[[#This Row],[Coût achat HT]]</f>
        <v>891.10999999999967</v>
      </c>
      <c r="H760" s="27">
        <f>DATE(YEAR(T_Ventes[[#This Row],[Date facture]]),MONTH(T_Ventes[[#This Row],[Date facture]]),1)</f>
        <v>46174</v>
      </c>
      <c r="I760" s="28">
        <f>YEAR(T_Ventes[[#This Row],[Date facture]])</f>
        <v>2026</v>
      </c>
    </row>
    <row r="761" spans="1:9" x14ac:dyDescent="0.3">
      <c r="A761" s="23">
        <v>46175</v>
      </c>
      <c r="B761" s="24" t="s">
        <v>856</v>
      </c>
      <c r="C761" s="24" t="s">
        <v>158</v>
      </c>
      <c r="D761" s="24" t="s">
        <v>71</v>
      </c>
      <c r="E761" s="25">
        <v>2136.06</v>
      </c>
      <c r="F761" s="25">
        <v>1289.33</v>
      </c>
      <c r="G761" s="26">
        <f>T_Ventes[[#This Row],[CA HT]]-T_Ventes[[#This Row],[Coût achat HT]]</f>
        <v>846.73</v>
      </c>
      <c r="H761" s="27">
        <f>DATE(YEAR(T_Ventes[[#This Row],[Date facture]]),MONTH(T_Ventes[[#This Row],[Date facture]]),1)</f>
        <v>46174</v>
      </c>
      <c r="I761" s="28">
        <f>YEAR(T_Ventes[[#This Row],[Date facture]])</f>
        <v>2026</v>
      </c>
    </row>
    <row r="762" spans="1:9" x14ac:dyDescent="0.3">
      <c r="A762" s="23">
        <v>46176</v>
      </c>
      <c r="B762" s="24" t="s">
        <v>857</v>
      </c>
      <c r="C762" s="24" t="s">
        <v>208</v>
      </c>
      <c r="D762" s="24" t="s">
        <v>57</v>
      </c>
      <c r="E762" s="25">
        <v>3479.22</v>
      </c>
      <c r="F762" s="25">
        <v>2348.9699999999998</v>
      </c>
      <c r="G762" s="26">
        <f>T_Ventes[[#This Row],[CA HT]]-T_Ventes[[#This Row],[Coût achat HT]]</f>
        <v>1130.25</v>
      </c>
      <c r="H762" s="27">
        <f>DATE(YEAR(T_Ventes[[#This Row],[Date facture]]),MONTH(T_Ventes[[#This Row],[Date facture]]),1)</f>
        <v>46174</v>
      </c>
      <c r="I762" s="28">
        <f>YEAR(T_Ventes[[#This Row],[Date facture]])</f>
        <v>2026</v>
      </c>
    </row>
    <row r="763" spans="1:9" x14ac:dyDescent="0.3">
      <c r="A763" s="23">
        <v>46177</v>
      </c>
      <c r="B763" s="24" t="s">
        <v>858</v>
      </c>
      <c r="C763" s="24" t="s">
        <v>115</v>
      </c>
      <c r="D763" s="24" t="s">
        <v>64</v>
      </c>
      <c r="E763" s="25">
        <v>5868.71</v>
      </c>
      <c r="F763" s="25">
        <v>4785.43</v>
      </c>
      <c r="G763" s="26">
        <f>T_Ventes[[#This Row],[CA HT]]-T_Ventes[[#This Row],[Coût achat HT]]</f>
        <v>1083.2799999999997</v>
      </c>
      <c r="H763" s="27">
        <f>DATE(YEAR(T_Ventes[[#This Row],[Date facture]]),MONTH(T_Ventes[[#This Row],[Date facture]]),1)</f>
        <v>46174</v>
      </c>
      <c r="I763" s="28">
        <f>YEAR(T_Ventes[[#This Row],[Date facture]])</f>
        <v>2026</v>
      </c>
    </row>
    <row r="764" spans="1:9" x14ac:dyDescent="0.3">
      <c r="A764" s="23">
        <v>46177</v>
      </c>
      <c r="B764" s="24" t="s">
        <v>859</v>
      </c>
      <c r="C764" s="24" t="s">
        <v>73</v>
      </c>
      <c r="D764" s="24" t="s">
        <v>64</v>
      </c>
      <c r="E764" s="25">
        <v>5595.82</v>
      </c>
      <c r="F764" s="25">
        <v>4542.8100000000004</v>
      </c>
      <c r="G764" s="26">
        <f>T_Ventes[[#This Row],[CA HT]]-T_Ventes[[#This Row],[Coût achat HT]]</f>
        <v>1053.0099999999993</v>
      </c>
      <c r="H764" s="27">
        <f>DATE(YEAR(T_Ventes[[#This Row],[Date facture]]),MONTH(T_Ventes[[#This Row],[Date facture]]),1)</f>
        <v>46174</v>
      </c>
      <c r="I764" s="28">
        <f>YEAR(T_Ventes[[#This Row],[Date facture]])</f>
        <v>2026</v>
      </c>
    </row>
    <row r="765" spans="1:9" x14ac:dyDescent="0.3">
      <c r="A765" s="23">
        <v>46177</v>
      </c>
      <c r="B765" s="24" t="s">
        <v>860</v>
      </c>
      <c r="C765" s="24" t="s">
        <v>162</v>
      </c>
      <c r="D765" s="24" t="s">
        <v>71</v>
      </c>
      <c r="E765" s="25">
        <v>1644.55</v>
      </c>
      <c r="F765" s="25">
        <v>974.08</v>
      </c>
      <c r="G765" s="26">
        <f>T_Ventes[[#This Row],[CA HT]]-T_Ventes[[#This Row],[Coût achat HT]]</f>
        <v>670.46999999999991</v>
      </c>
      <c r="H765" s="27">
        <f>DATE(YEAR(T_Ventes[[#This Row],[Date facture]]),MONTH(T_Ventes[[#This Row],[Date facture]]),1)</f>
        <v>46174</v>
      </c>
      <c r="I765" s="28">
        <f>YEAR(T_Ventes[[#This Row],[Date facture]])</f>
        <v>2026</v>
      </c>
    </row>
    <row r="766" spans="1:9" x14ac:dyDescent="0.3">
      <c r="A766" s="23">
        <v>46178</v>
      </c>
      <c r="B766" s="24" t="s">
        <v>861</v>
      </c>
      <c r="C766" s="24" t="s">
        <v>92</v>
      </c>
      <c r="D766" s="24" t="s">
        <v>64</v>
      </c>
      <c r="E766" s="25">
        <v>4862.96</v>
      </c>
      <c r="F766" s="25">
        <v>3955.68</v>
      </c>
      <c r="G766" s="26">
        <f>T_Ventes[[#This Row],[CA HT]]-T_Ventes[[#This Row],[Coût achat HT]]</f>
        <v>907.2800000000002</v>
      </c>
      <c r="H766" s="27">
        <f>DATE(YEAR(T_Ventes[[#This Row],[Date facture]]),MONTH(T_Ventes[[#This Row],[Date facture]]),1)</f>
        <v>46174</v>
      </c>
      <c r="I766" s="28">
        <f>YEAR(T_Ventes[[#This Row],[Date facture]])</f>
        <v>2026</v>
      </c>
    </row>
    <row r="767" spans="1:9" x14ac:dyDescent="0.3">
      <c r="A767" s="23">
        <v>46178</v>
      </c>
      <c r="B767" s="24" t="s">
        <v>862</v>
      </c>
      <c r="C767" s="24" t="s">
        <v>80</v>
      </c>
      <c r="D767" s="24" t="s">
        <v>57</v>
      </c>
      <c r="E767" s="25">
        <v>2961.14</v>
      </c>
      <c r="F767" s="25">
        <v>1909.3</v>
      </c>
      <c r="G767" s="26">
        <f>T_Ventes[[#This Row],[CA HT]]-T_Ventes[[#This Row],[Coût achat HT]]</f>
        <v>1051.8399999999999</v>
      </c>
      <c r="H767" s="27">
        <f>DATE(YEAR(T_Ventes[[#This Row],[Date facture]]),MONTH(T_Ventes[[#This Row],[Date facture]]),1)</f>
        <v>46174</v>
      </c>
      <c r="I767" s="28">
        <f>YEAR(T_Ventes[[#This Row],[Date facture]])</f>
        <v>2026</v>
      </c>
    </row>
    <row r="768" spans="1:9" x14ac:dyDescent="0.3">
      <c r="A768" s="23">
        <v>46178</v>
      </c>
      <c r="B768" s="24" t="s">
        <v>863</v>
      </c>
      <c r="C768" s="24" t="s">
        <v>123</v>
      </c>
      <c r="D768" s="24" t="s">
        <v>71</v>
      </c>
      <c r="E768" s="25">
        <v>4381.63</v>
      </c>
      <c r="F768" s="25">
        <v>2563</v>
      </c>
      <c r="G768" s="26">
        <f>T_Ventes[[#This Row],[CA HT]]-T_Ventes[[#This Row],[Coût achat HT]]</f>
        <v>1818.63</v>
      </c>
      <c r="H768" s="27">
        <f>DATE(YEAR(T_Ventes[[#This Row],[Date facture]]),MONTH(T_Ventes[[#This Row],[Date facture]]),1)</f>
        <v>46174</v>
      </c>
      <c r="I768" s="28">
        <f>YEAR(T_Ventes[[#This Row],[Date facture]])</f>
        <v>2026</v>
      </c>
    </row>
    <row r="769" spans="1:9" x14ac:dyDescent="0.3">
      <c r="A769" s="23">
        <v>46179</v>
      </c>
      <c r="B769" s="24" t="s">
        <v>864</v>
      </c>
      <c r="C769" s="24" t="s">
        <v>78</v>
      </c>
      <c r="D769" s="24" t="s">
        <v>71</v>
      </c>
      <c r="E769" s="25">
        <v>6900.4</v>
      </c>
      <c r="F769" s="25">
        <v>3946.21</v>
      </c>
      <c r="G769" s="26">
        <f>T_Ventes[[#This Row],[CA HT]]-T_Ventes[[#This Row],[Coût achat HT]]</f>
        <v>2954.1899999999996</v>
      </c>
      <c r="H769" s="27">
        <f>DATE(YEAR(T_Ventes[[#This Row],[Date facture]]),MONTH(T_Ventes[[#This Row],[Date facture]]),1)</f>
        <v>46174</v>
      </c>
      <c r="I769" s="28">
        <f>YEAR(T_Ventes[[#This Row],[Date facture]])</f>
        <v>2026</v>
      </c>
    </row>
    <row r="770" spans="1:9" x14ac:dyDescent="0.3">
      <c r="A770" s="23">
        <v>46179</v>
      </c>
      <c r="B770" s="24" t="s">
        <v>865</v>
      </c>
      <c r="C770" s="24" t="s">
        <v>56</v>
      </c>
      <c r="D770" s="24" t="s">
        <v>59</v>
      </c>
      <c r="E770" s="25">
        <v>1320.11</v>
      </c>
      <c r="F770" s="25">
        <v>470.1</v>
      </c>
      <c r="G770" s="26">
        <f>T_Ventes[[#This Row],[CA HT]]-T_Ventes[[#This Row],[Coût achat HT]]</f>
        <v>850.00999999999988</v>
      </c>
      <c r="H770" s="27">
        <f>DATE(YEAR(T_Ventes[[#This Row],[Date facture]]),MONTH(T_Ventes[[#This Row],[Date facture]]),1)</f>
        <v>46174</v>
      </c>
      <c r="I770" s="28">
        <f>YEAR(T_Ventes[[#This Row],[Date facture]])</f>
        <v>2026</v>
      </c>
    </row>
    <row r="771" spans="1:9" x14ac:dyDescent="0.3">
      <c r="A771" s="23">
        <v>46180</v>
      </c>
      <c r="B771" s="24" t="s">
        <v>866</v>
      </c>
      <c r="C771" s="24" t="s">
        <v>115</v>
      </c>
      <c r="D771" s="24" t="s">
        <v>64</v>
      </c>
      <c r="E771" s="25">
        <v>4025.34</v>
      </c>
      <c r="F771" s="25">
        <v>3277.88</v>
      </c>
      <c r="G771" s="26">
        <f>T_Ventes[[#This Row],[CA HT]]-T_Ventes[[#This Row],[Coût achat HT]]</f>
        <v>747.46</v>
      </c>
      <c r="H771" s="27">
        <f>DATE(YEAR(T_Ventes[[#This Row],[Date facture]]),MONTH(T_Ventes[[#This Row],[Date facture]]),1)</f>
        <v>46174</v>
      </c>
      <c r="I771" s="28">
        <f>YEAR(T_Ventes[[#This Row],[Date facture]])</f>
        <v>2026</v>
      </c>
    </row>
    <row r="772" spans="1:9" x14ac:dyDescent="0.3">
      <c r="A772" s="23">
        <v>46180</v>
      </c>
      <c r="B772" s="24" t="s">
        <v>867</v>
      </c>
      <c r="C772" s="24" t="s">
        <v>90</v>
      </c>
      <c r="D772" s="24" t="s">
        <v>57</v>
      </c>
      <c r="E772" s="25">
        <v>6369.48</v>
      </c>
      <c r="F772" s="25">
        <v>4244.72</v>
      </c>
      <c r="G772" s="26">
        <f>T_Ventes[[#This Row],[CA HT]]-T_Ventes[[#This Row],[Coût achat HT]]</f>
        <v>2124.7599999999993</v>
      </c>
      <c r="H772" s="27">
        <f>DATE(YEAR(T_Ventes[[#This Row],[Date facture]]),MONTH(T_Ventes[[#This Row],[Date facture]]),1)</f>
        <v>46174</v>
      </c>
      <c r="I772" s="28">
        <f>YEAR(T_Ventes[[#This Row],[Date facture]])</f>
        <v>2026</v>
      </c>
    </row>
    <row r="773" spans="1:9" x14ac:dyDescent="0.3">
      <c r="A773" s="23">
        <v>46180</v>
      </c>
      <c r="B773" s="24" t="s">
        <v>868</v>
      </c>
      <c r="C773" s="24" t="s">
        <v>252</v>
      </c>
      <c r="D773" s="24" t="s">
        <v>57</v>
      </c>
      <c r="E773" s="25">
        <v>3163.74</v>
      </c>
      <c r="F773" s="25">
        <v>2114.59</v>
      </c>
      <c r="G773" s="26">
        <f>T_Ventes[[#This Row],[CA HT]]-T_Ventes[[#This Row],[Coût achat HT]]</f>
        <v>1049.1499999999996</v>
      </c>
      <c r="H773" s="27">
        <f>DATE(YEAR(T_Ventes[[#This Row],[Date facture]]),MONTH(T_Ventes[[#This Row],[Date facture]]),1)</f>
        <v>46174</v>
      </c>
      <c r="I773" s="28">
        <f>YEAR(T_Ventes[[#This Row],[Date facture]])</f>
        <v>2026</v>
      </c>
    </row>
    <row r="774" spans="1:9" x14ac:dyDescent="0.3">
      <c r="A774" s="23">
        <v>46180</v>
      </c>
      <c r="B774" s="24" t="s">
        <v>869</v>
      </c>
      <c r="C774" s="24" t="s">
        <v>56</v>
      </c>
      <c r="D774" s="24" t="s">
        <v>71</v>
      </c>
      <c r="E774" s="25">
        <v>4957.71</v>
      </c>
      <c r="F774" s="25">
        <v>2901.72</v>
      </c>
      <c r="G774" s="26">
        <f>T_Ventes[[#This Row],[CA HT]]-T_Ventes[[#This Row],[Coût achat HT]]</f>
        <v>2055.9900000000002</v>
      </c>
      <c r="H774" s="27">
        <f>DATE(YEAR(T_Ventes[[#This Row],[Date facture]]),MONTH(T_Ventes[[#This Row],[Date facture]]),1)</f>
        <v>46174</v>
      </c>
      <c r="I774" s="28">
        <f>YEAR(T_Ventes[[#This Row],[Date facture]])</f>
        <v>2026</v>
      </c>
    </row>
    <row r="775" spans="1:9" x14ac:dyDescent="0.3">
      <c r="A775" s="23">
        <v>46181</v>
      </c>
      <c r="B775" s="24" t="s">
        <v>870</v>
      </c>
      <c r="C775" s="24" t="s">
        <v>121</v>
      </c>
      <c r="D775" s="24" t="s">
        <v>64</v>
      </c>
      <c r="E775" s="25">
        <v>1218</v>
      </c>
      <c r="F775" s="25">
        <v>995.58</v>
      </c>
      <c r="G775" s="26">
        <f>T_Ventes[[#This Row],[CA HT]]-T_Ventes[[#This Row],[Coût achat HT]]</f>
        <v>222.41999999999996</v>
      </c>
      <c r="H775" s="27">
        <f>DATE(YEAR(T_Ventes[[#This Row],[Date facture]]),MONTH(T_Ventes[[#This Row],[Date facture]]),1)</f>
        <v>46174</v>
      </c>
      <c r="I775" s="28">
        <f>YEAR(T_Ventes[[#This Row],[Date facture]])</f>
        <v>2026</v>
      </c>
    </row>
    <row r="776" spans="1:9" x14ac:dyDescent="0.3">
      <c r="A776" s="23">
        <v>46181</v>
      </c>
      <c r="B776" s="24" t="s">
        <v>871</v>
      </c>
      <c r="C776" s="24" t="s">
        <v>73</v>
      </c>
      <c r="D776" s="24" t="s">
        <v>64</v>
      </c>
      <c r="E776" s="25">
        <v>3818.87</v>
      </c>
      <c r="F776" s="25">
        <v>3084.73</v>
      </c>
      <c r="G776" s="26">
        <f>T_Ventes[[#This Row],[CA HT]]-T_Ventes[[#This Row],[Coût achat HT]]</f>
        <v>734.13999999999987</v>
      </c>
      <c r="H776" s="27">
        <f>DATE(YEAR(T_Ventes[[#This Row],[Date facture]]),MONTH(T_Ventes[[#This Row],[Date facture]]),1)</f>
        <v>46174</v>
      </c>
      <c r="I776" s="28">
        <f>YEAR(T_Ventes[[#This Row],[Date facture]])</f>
        <v>2026</v>
      </c>
    </row>
    <row r="777" spans="1:9" x14ac:dyDescent="0.3">
      <c r="A777" s="23">
        <v>46181</v>
      </c>
      <c r="B777" s="24" t="s">
        <v>872</v>
      </c>
      <c r="C777" s="24" t="s">
        <v>96</v>
      </c>
      <c r="D777" s="24" t="s">
        <v>57</v>
      </c>
      <c r="E777" s="25">
        <v>1932.73</v>
      </c>
      <c r="F777" s="25">
        <v>1280.45</v>
      </c>
      <c r="G777" s="26">
        <f>T_Ventes[[#This Row],[CA HT]]-T_Ventes[[#This Row],[Coût achat HT]]</f>
        <v>652.28</v>
      </c>
      <c r="H777" s="27">
        <f>DATE(YEAR(T_Ventes[[#This Row],[Date facture]]),MONTH(T_Ventes[[#This Row],[Date facture]]),1)</f>
        <v>46174</v>
      </c>
      <c r="I777" s="28">
        <f>YEAR(T_Ventes[[#This Row],[Date facture]])</f>
        <v>2026</v>
      </c>
    </row>
    <row r="778" spans="1:9" x14ac:dyDescent="0.3">
      <c r="A778" s="23">
        <v>46182</v>
      </c>
      <c r="B778" s="24" t="s">
        <v>873</v>
      </c>
      <c r="C778" s="24" t="s">
        <v>115</v>
      </c>
      <c r="D778" s="24" t="s">
        <v>64</v>
      </c>
      <c r="E778" s="25">
        <v>3140.02</v>
      </c>
      <c r="F778" s="25">
        <v>2572.2199999999998</v>
      </c>
      <c r="G778" s="26">
        <f>T_Ventes[[#This Row],[CA HT]]-T_Ventes[[#This Row],[Coût achat HT]]</f>
        <v>567.80000000000018</v>
      </c>
      <c r="H778" s="27">
        <f>DATE(YEAR(T_Ventes[[#This Row],[Date facture]]),MONTH(T_Ventes[[#This Row],[Date facture]]),1)</f>
        <v>46174</v>
      </c>
      <c r="I778" s="28">
        <f>YEAR(T_Ventes[[#This Row],[Date facture]])</f>
        <v>2026</v>
      </c>
    </row>
    <row r="779" spans="1:9" x14ac:dyDescent="0.3">
      <c r="A779" s="23">
        <v>46184</v>
      </c>
      <c r="B779" s="24" t="s">
        <v>874</v>
      </c>
      <c r="C779" s="24" t="s">
        <v>354</v>
      </c>
      <c r="D779" s="24" t="s">
        <v>64</v>
      </c>
      <c r="E779" s="25">
        <v>4884.55</v>
      </c>
      <c r="F779" s="25">
        <v>3962.87</v>
      </c>
      <c r="G779" s="26">
        <f>T_Ventes[[#This Row],[CA HT]]-T_Ventes[[#This Row],[Coût achat HT]]</f>
        <v>921.68000000000029</v>
      </c>
      <c r="H779" s="27">
        <f>DATE(YEAR(T_Ventes[[#This Row],[Date facture]]),MONTH(T_Ventes[[#This Row],[Date facture]]),1)</f>
        <v>46174</v>
      </c>
      <c r="I779" s="28">
        <f>YEAR(T_Ventes[[#This Row],[Date facture]])</f>
        <v>2026</v>
      </c>
    </row>
    <row r="780" spans="1:9" x14ac:dyDescent="0.3">
      <c r="A780" s="23">
        <v>46184</v>
      </c>
      <c r="B780" s="24" t="s">
        <v>875</v>
      </c>
      <c r="C780" s="24" t="s">
        <v>105</v>
      </c>
      <c r="D780" s="24" t="s">
        <v>71</v>
      </c>
      <c r="E780" s="25">
        <v>1636.79</v>
      </c>
      <c r="F780" s="25">
        <v>964.83</v>
      </c>
      <c r="G780" s="26">
        <f>T_Ventes[[#This Row],[CA HT]]-T_Ventes[[#This Row],[Coût achat HT]]</f>
        <v>671.95999999999992</v>
      </c>
      <c r="H780" s="27">
        <f>DATE(YEAR(T_Ventes[[#This Row],[Date facture]]),MONTH(T_Ventes[[#This Row],[Date facture]]),1)</f>
        <v>46174</v>
      </c>
      <c r="I780" s="28">
        <f>YEAR(T_Ventes[[#This Row],[Date facture]])</f>
        <v>2026</v>
      </c>
    </row>
    <row r="781" spans="1:9" x14ac:dyDescent="0.3">
      <c r="A781" s="23">
        <v>46185</v>
      </c>
      <c r="B781" s="24" t="s">
        <v>876</v>
      </c>
      <c r="C781" s="24" t="s">
        <v>66</v>
      </c>
      <c r="D781" s="24" t="s">
        <v>57</v>
      </c>
      <c r="E781" s="25">
        <v>2254.2199999999998</v>
      </c>
      <c r="F781" s="25">
        <v>1467.1</v>
      </c>
      <c r="G781" s="26">
        <f>T_Ventes[[#This Row],[CA HT]]-T_Ventes[[#This Row],[Coût achat HT]]</f>
        <v>787.11999999999989</v>
      </c>
      <c r="H781" s="27">
        <f>DATE(YEAR(T_Ventes[[#This Row],[Date facture]]),MONTH(T_Ventes[[#This Row],[Date facture]]),1)</f>
        <v>46174</v>
      </c>
      <c r="I781" s="28">
        <f>YEAR(T_Ventes[[#This Row],[Date facture]])</f>
        <v>2026</v>
      </c>
    </row>
    <row r="782" spans="1:9" x14ac:dyDescent="0.3">
      <c r="A782" s="23">
        <v>46186</v>
      </c>
      <c r="B782" s="24" t="s">
        <v>877</v>
      </c>
      <c r="C782" s="24" t="s">
        <v>166</v>
      </c>
      <c r="D782" s="24" t="s">
        <v>57</v>
      </c>
      <c r="E782" s="25">
        <v>2687.53</v>
      </c>
      <c r="F782" s="25">
        <v>1818.86</v>
      </c>
      <c r="G782" s="26">
        <f>T_Ventes[[#This Row],[CA HT]]-T_Ventes[[#This Row],[Coût achat HT]]</f>
        <v>868.6700000000003</v>
      </c>
      <c r="H782" s="27">
        <f>DATE(YEAR(T_Ventes[[#This Row],[Date facture]]),MONTH(T_Ventes[[#This Row],[Date facture]]),1)</f>
        <v>46174</v>
      </c>
      <c r="I782" s="28">
        <f>YEAR(T_Ventes[[#This Row],[Date facture]])</f>
        <v>2026</v>
      </c>
    </row>
    <row r="783" spans="1:9" x14ac:dyDescent="0.3">
      <c r="A783" s="23">
        <v>46186</v>
      </c>
      <c r="B783" s="24" t="s">
        <v>878</v>
      </c>
      <c r="C783" s="24" t="s">
        <v>73</v>
      </c>
      <c r="D783" s="24" t="s">
        <v>59</v>
      </c>
      <c r="E783" s="25">
        <v>3818.41</v>
      </c>
      <c r="F783" s="25">
        <v>1508.74</v>
      </c>
      <c r="G783" s="26">
        <f>T_Ventes[[#This Row],[CA HT]]-T_Ventes[[#This Row],[Coût achat HT]]</f>
        <v>2309.67</v>
      </c>
      <c r="H783" s="27">
        <f>DATE(YEAR(T_Ventes[[#This Row],[Date facture]]),MONTH(T_Ventes[[#This Row],[Date facture]]),1)</f>
        <v>46174</v>
      </c>
      <c r="I783" s="28">
        <f>YEAR(T_Ventes[[#This Row],[Date facture]])</f>
        <v>2026</v>
      </c>
    </row>
    <row r="784" spans="1:9" x14ac:dyDescent="0.3">
      <c r="A784" s="23">
        <v>46187</v>
      </c>
      <c r="B784" s="24" t="s">
        <v>879</v>
      </c>
      <c r="C784" s="24" t="s">
        <v>162</v>
      </c>
      <c r="D784" s="24" t="s">
        <v>64</v>
      </c>
      <c r="E784" s="25">
        <v>5210.22</v>
      </c>
      <c r="F784" s="25">
        <v>4200.32</v>
      </c>
      <c r="G784" s="26">
        <f>T_Ventes[[#This Row],[CA HT]]-T_Ventes[[#This Row],[Coût achat HT]]</f>
        <v>1009.9000000000005</v>
      </c>
      <c r="H784" s="27">
        <f>DATE(YEAR(T_Ventes[[#This Row],[Date facture]]),MONTH(T_Ventes[[#This Row],[Date facture]]),1)</f>
        <v>46174</v>
      </c>
      <c r="I784" s="28">
        <f>YEAR(T_Ventes[[#This Row],[Date facture]])</f>
        <v>2026</v>
      </c>
    </row>
    <row r="785" spans="1:9" x14ac:dyDescent="0.3">
      <c r="A785" s="23">
        <v>46187</v>
      </c>
      <c r="B785" s="24" t="s">
        <v>880</v>
      </c>
      <c r="C785" s="24" t="s">
        <v>87</v>
      </c>
      <c r="D785" s="24" t="s">
        <v>57</v>
      </c>
      <c r="E785" s="25">
        <v>3464.99</v>
      </c>
      <c r="F785" s="25">
        <v>2263.0100000000002</v>
      </c>
      <c r="G785" s="26">
        <f>T_Ventes[[#This Row],[CA HT]]-T_Ventes[[#This Row],[Coût achat HT]]</f>
        <v>1201.9799999999996</v>
      </c>
      <c r="H785" s="27">
        <f>DATE(YEAR(T_Ventes[[#This Row],[Date facture]]),MONTH(T_Ventes[[#This Row],[Date facture]]),1)</f>
        <v>46174</v>
      </c>
      <c r="I785" s="28">
        <f>YEAR(T_Ventes[[#This Row],[Date facture]])</f>
        <v>2026</v>
      </c>
    </row>
    <row r="786" spans="1:9" x14ac:dyDescent="0.3">
      <c r="A786" s="23">
        <v>46188</v>
      </c>
      <c r="B786" s="24" t="s">
        <v>881</v>
      </c>
      <c r="C786" s="24" t="s">
        <v>105</v>
      </c>
      <c r="D786" s="24" t="s">
        <v>64</v>
      </c>
      <c r="E786" s="25">
        <v>4094.21</v>
      </c>
      <c r="F786" s="25">
        <v>3322.29</v>
      </c>
      <c r="G786" s="26">
        <f>T_Ventes[[#This Row],[CA HT]]-T_Ventes[[#This Row],[Coût achat HT]]</f>
        <v>771.92000000000007</v>
      </c>
      <c r="H786" s="27">
        <f>DATE(YEAR(T_Ventes[[#This Row],[Date facture]]),MONTH(T_Ventes[[#This Row],[Date facture]]),1)</f>
        <v>46174</v>
      </c>
      <c r="I786" s="28">
        <f>YEAR(T_Ventes[[#This Row],[Date facture]])</f>
        <v>2026</v>
      </c>
    </row>
    <row r="787" spans="1:9" x14ac:dyDescent="0.3">
      <c r="A787" s="23">
        <v>46188</v>
      </c>
      <c r="B787" s="24" t="s">
        <v>882</v>
      </c>
      <c r="C787" s="24" t="s">
        <v>348</v>
      </c>
      <c r="D787" s="24" t="s">
        <v>64</v>
      </c>
      <c r="E787" s="25">
        <v>4238.79</v>
      </c>
      <c r="F787" s="25">
        <v>3470.25</v>
      </c>
      <c r="G787" s="26">
        <f>T_Ventes[[#This Row],[CA HT]]-T_Ventes[[#This Row],[Coût achat HT]]</f>
        <v>768.54</v>
      </c>
      <c r="H787" s="27">
        <f>DATE(YEAR(T_Ventes[[#This Row],[Date facture]]),MONTH(T_Ventes[[#This Row],[Date facture]]),1)</f>
        <v>46174</v>
      </c>
      <c r="I787" s="28">
        <f>YEAR(T_Ventes[[#This Row],[Date facture]])</f>
        <v>2026</v>
      </c>
    </row>
    <row r="788" spans="1:9" x14ac:dyDescent="0.3">
      <c r="A788" s="23">
        <v>46188</v>
      </c>
      <c r="B788" s="24" t="s">
        <v>883</v>
      </c>
      <c r="C788" s="24" t="s">
        <v>76</v>
      </c>
      <c r="D788" s="24" t="s">
        <v>64</v>
      </c>
      <c r="E788" s="25">
        <v>4400.67</v>
      </c>
      <c r="F788" s="25">
        <v>3527.12</v>
      </c>
      <c r="G788" s="26">
        <f>T_Ventes[[#This Row],[CA HT]]-T_Ventes[[#This Row],[Coût achat HT]]</f>
        <v>873.55000000000018</v>
      </c>
      <c r="H788" s="27">
        <f>DATE(YEAR(T_Ventes[[#This Row],[Date facture]]),MONTH(T_Ventes[[#This Row],[Date facture]]),1)</f>
        <v>46174</v>
      </c>
      <c r="I788" s="28">
        <f>YEAR(T_Ventes[[#This Row],[Date facture]])</f>
        <v>2026</v>
      </c>
    </row>
    <row r="789" spans="1:9" x14ac:dyDescent="0.3">
      <c r="A789" s="23">
        <v>46189</v>
      </c>
      <c r="B789" s="24" t="s">
        <v>884</v>
      </c>
      <c r="C789" s="24" t="s">
        <v>115</v>
      </c>
      <c r="D789" s="24" t="s">
        <v>64</v>
      </c>
      <c r="E789" s="25">
        <v>3315.62</v>
      </c>
      <c r="F789" s="25">
        <v>2694.13</v>
      </c>
      <c r="G789" s="26">
        <f>T_Ventes[[#This Row],[CA HT]]-T_Ventes[[#This Row],[Coût achat HT]]</f>
        <v>621.48999999999978</v>
      </c>
      <c r="H789" s="27">
        <f>DATE(YEAR(T_Ventes[[#This Row],[Date facture]]),MONTH(T_Ventes[[#This Row],[Date facture]]),1)</f>
        <v>46174</v>
      </c>
      <c r="I789" s="28">
        <f>YEAR(T_Ventes[[#This Row],[Date facture]])</f>
        <v>2026</v>
      </c>
    </row>
    <row r="790" spans="1:9" x14ac:dyDescent="0.3">
      <c r="A790" s="23">
        <v>46189</v>
      </c>
      <c r="B790" s="24" t="s">
        <v>885</v>
      </c>
      <c r="C790" s="24" t="s">
        <v>73</v>
      </c>
      <c r="D790" s="24" t="s">
        <v>64</v>
      </c>
      <c r="E790" s="25">
        <v>1988.94</v>
      </c>
      <c r="F790" s="25">
        <v>1623.68</v>
      </c>
      <c r="G790" s="26">
        <f>T_Ventes[[#This Row],[CA HT]]-T_Ventes[[#This Row],[Coût achat HT]]</f>
        <v>365.26</v>
      </c>
      <c r="H790" s="27">
        <f>DATE(YEAR(T_Ventes[[#This Row],[Date facture]]),MONTH(T_Ventes[[#This Row],[Date facture]]),1)</f>
        <v>46174</v>
      </c>
      <c r="I790" s="28">
        <f>YEAR(T_Ventes[[#This Row],[Date facture]])</f>
        <v>2026</v>
      </c>
    </row>
    <row r="791" spans="1:9" x14ac:dyDescent="0.3">
      <c r="A791" s="23">
        <v>46189</v>
      </c>
      <c r="B791" s="24" t="s">
        <v>886</v>
      </c>
      <c r="C791" s="24" t="s">
        <v>90</v>
      </c>
      <c r="D791" s="24" t="s">
        <v>71</v>
      </c>
      <c r="E791" s="25">
        <v>2091.06</v>
      </c>
      <c r="F791" s="25">
        <v>1247.67</v>
      </c>
      <c r="G791" s="26">
        <f>T_Ventes[[#This Row],[CA HT]]-T_Ventes[[#This Row],[Coût achat HT]]</f>
        <v>843.38999999999987</v>
      </c>
      <c r="H791" s="27">
        <f>DATE(YEAR(T_Ventes[[#This Row],[Date facture]]),MONTH(T_Ventes[[#This Row],[Date facture]]),1)</f>
        <v>46174</v>
      </c>
      <c r="I791" s="28">
        <f>YEAR(T_Ventes[[#This Row],[Date facture]])</f>
        <v>2026</v>
      </c>
    </row>
    <row r="792" spans="1:9" x14ac:dyDescent="0.3">
      <c r="A792" s="23">
        <v>46190</v>
      </c>
      <c r="B792" s="24" t="s">
        <v>887</v>
      </c>
      <c r="C792" s="24" t="s">
        <v>73</v>
      </c>
      <c r="D792" s="24" t="s">
        <v>57</v>
      </c>
      <c r="E792" s="25">
        <v>6425.2</v>
      </c>
      <c r="F792" s="25">
        <v>4230.96</v>
      </c>
      <c r="G792" s="26">
        <f>T_Ventes[[#This Row],[CA HT]]-T_Ventes[[#This Row],[Coût achat HT]]</f>
        <v>2194.2399999999998</v>
      </c>
      <c r="H792" s="27">
        <f>DATE(YEAR(T_Ventes[[#This Row],[Date facture]]),MONTH(T_Ventes[[#This Row],[Date facture]]),1)</f>
        <v>46174</v>
      </c>
      <c r="I792" s="28">
        <f>YEAR(T_Ventes[[#This Row],[Date facture]])</f>
        <v>2026</v>
      </c>
    </row>
    <row r="793" spans="1:9" x14ac:dyDescent="0.3">
      <c r="A793" s="23">
        <v>46190</v>
      </c>
      <c r="B793" s="24" t="s">
        <v>888</v>
      </c>
      <c r="C793" s="24" t="s">
        <v>73</v>
      </c>
      <c r="D793" s="24" t="s">
        <v>71</v>
      </c>
      <c r="E793" s="25">
        <v>6288.67</v>
      </c>
      <c r="F793" s="25">
        <v>3790.78</v>
      </c>
      <c r="G793" s="26">
        <f>T_Ventes[[#This Row],[CA HT]]-T_Ventes[[#This Row],[Coût achat HT]]</f>
        <v>2497.89</v>
      </c>
      <c r="H793" s="27">
        <f>DATE(YEAR(T_Ventes[[#This Row],[Date facture]]),MONTH(T_Ventes[[#This Row],[Date facture]]),1)</f>
        <v>46174</v>
      </c>
      <c r="I793" s="28">
        <f>YEAR(T_Ventes[[#This Row],[Date facture]])</f>
        <v>2026</v>
      </c>
    </row>
    <row r="794" spans="1:9" x14ac:dyDescent="0.3">
      <c r="A794" s="23">
        <v>46191</v>
      </c>
      <c r="B794" s="24" t="s">
        <v>889</v>
      </c>
      <c r="C794" s="24" t="s">
        <v>96</v>
      </c>
      <c r="D794" s="24" t="s">
        <v>64</v>
      </c>
      <c r="E794" s="25">
        <v>2462.98</v>
      </c>
      <c r="F794" s="25">
        <v>1993.69</v>
      </c>
      <c r="G794" s="26">
        <f>T_Ventes[[#This Row],[CA HT]]-T_Ventes[[#This Row],[Coût achat HT]]</f>
        <v>469.28999999999996</v>
      </c>
      <c r="H794" s="27">
        <f>DATE(YEAR(T_Ventes[[#This Row],[Date facture]]),MONTH(T_Ventes[[#This Row],[Date facture]]),1)</f>
        <v>46174</v>
      </c>
      <c r="I794" s="28">
        <f>YEAR(T_Ventes[[#This Row],[Date facture]])</f>
        <v>2026</v>
      </c>
    </row>
    <row r="795" spans="1:9" x14ac:dyDescent="0.3">
      <c r="A795" s="23">
        <v>46192</v>
      </c>
      <c r="B795" s="24" t="s">
        <v>890</v>
      </c>
      <c r="C795" s="24" t="s">
        <v>105</v>
      </c>
      <c r="D795" s="24" t="s">
        <v>64</v>
      </c>
      <c r="E795" s="25">
        <v>1541.94</v>
      </c>
      <c r="F795" s="25">
        <v>1245.29</v>
      </c>
      <c r="G795" s="26">
        <f>T_Ventes[[#This Row],[CA HT]]-T_Ventes[[#This Row],[Coût achat HT]]</f>
        <v>296.65000000000009</v>
      </c>
      <c r="H795" s="27">
        <f>DATE(YEAR(T_Ventes[[#This Row],[Date facture]]),MONTH(T_Ventes[[#This Row],[Date facture]]),1)</f>
        <v>46174</v>
      </c>
      <c r="I795" s="28">
        <f>YEAR(T_Ventes[[#This Row],[Date facture]])</f>
        <v>2026</v>
      </c>
    </row>
    <row r="796" spans="1:9" x14ac:dyDescent="0.3">
      <c r="A796" s="23">
        <v>46193</v>
      </c>
      <c r="B796" s="24" t="s">
        <v>891</v>
      </c>
      <c r="C796" s="24" t="s">
        <v>56</v>
      </c>
      <c r="D796" s="24" t="s">
        <v>71</v>
      </c>
      <c r="E796" s="25">
        <v>4112.79</v>
      </c>
      <c r="F796" s="25">
        <v>2424.27</v>
      </c>
      <c r="G796" s="26">
        <f>T_Ventes[[#This Row],[CA HT]]-T_Ventes[[#This Row],[Coût achat HT]]</f>
        <v>1688.52</v>
      </c>
      <c r="H796" s="27">
        <f>DATE(YEAR(T_Ventes[[#This Row],[Date facture]]),MONTH(T_Ventes[[#This Row],[Date facture]]),1)</f>
        <v>46174</v>
      </c>
      <c r="I796" s="28">
        <f>YEAR(T_Ventes[[#This Row],[Date facture]])</f>
        <v>2026</v>
      </c>
    </row>
    <row r="797" spans="1:9" x14ac:dyDescent="0.3">
      <c r="A797" s="23">
        <v>46193</v>
      </c>
      <c r="B797" s="24" t="s">
        <v>892</v>
      </c>
      <c r="C797" s="24" t="s">
        <v>80</v>
      </c>
      <c r="D797" s="24" t="s">
        <v>71</v>
      </c>
      <c r="E797" s="25">
        <v>1804.08</v>
      </c>
      <c r="F797" s="25">
        <v>1048.24</v>
      </c>
      <c r="G797" s="26">
        <f>T_Ventes[[#This Row],[CA HT]]-T_Ventes[[#This Row],[Coût achat HT]]</f>
        <v>755.83999999999992</v>
      </c>
      <c r="H797" s="27">
        <f>DATE(YEAR(T_Ventes[[#This Row],[Date facture]]),MONTH(T_Ventes[[#This Row],[Date facture]]),1)</f>
        <v>46174</v>
      </c>
      <c r="I797" s="28">
        <f>YEAR(T_Ventes[[#This Row],[Date facture]])</f>
        <v>2026</v>
      </c>
    </row>
    <row r="798" spans="1:9" x14ac:dyDescent="0.3">
      <c r="A798" s="23">
        <v>46193</v>
      </c>
      <c r="B798" s="24" t="s">
        <v>893</v>
      </c>
      <c r="C798" s="24" t="s">
        <v>175</v>
      </c>
      <c r="D798" s="24" t="s">
        <v>59</v>
      </c>
      <c r="E798" s="25">
        <v>6667.38</v>
      </c>
      <c r="F798" s="25">
        <v>2502.71</v>
      </c>
      <c r="G798" s="26">
        <f>T_Ventes[[#This Row],[CA HT]]-T_Ventes[[#This Row],[Coût achat HT]]</f>
        <v>4164.67</v>
      </c>
      <c r="H798" s="27">
        <f>DATE(YEAR(T_Ventes[[#This Row],[Date facture]]),MONTH(T_Ventes[[#This Row],[Date facture]]),1)</f>
        <v>46174</v>
      </c>
      <c r="I798" s="28">
        <f>YEAR(T_Ventes[[#This Row],[Date facture]])</f>
        <v>2026</v>
      </c>
    </row>
    <row r="799" spans="1:9" x14ac:dyDescent="0.3">
      <c r="A799" s="23">
        <v>46194</v>
      </c>
      <c r="B799" s="24" t="s">
        <v>894</v>
      </c>
      <c r="C799" s="24" t="s">
        <v>73</v>
      </c>
      <c r="D799" s="24" t="s">
        <v>64</v>
      </c>
      <c r="E799" s="25">
        <v>4508.18</v>
      </c>
      <c r="F799" s="25">
        <v>3634.82</v>
      </c>
      <c r="G799" s="26">
        <f>T_Ventes[[#This Row],[CA HT]]-T_Ventes[[#This Row],[Coût achat HT]]</f>
        <v>873.36000000000013</v>
      </c>
      <c r="H799" s="27">
        <f>DATE(YEAR(T_Ventes[[#This Row],[Date facture]]),MONTH(T_Ventes[[#This Row],[Date facture]]),1)</f>
        <v>46174</v>
      </c>
      <c r="I799" s="28">
        <f>YEAR(T_Ventes[[#This Row],[Date facture]])</f>
        <v>2026</v>
      </c>
    </row>
    <row r="800" spans="1:9" x14ac:dyDescent="0.3">
      <c r="A800" s="23">
        <v>46194</v>
      </c>
      <c r="B800" s="24" t="s">
        <v>895</v>
      </c>
      <c r="C800" s="24" t="s">
        <v>61</v>
      </c>
      <c r="D800" s="24" t="s">
        <v>57</v>
      </c>
      <c r="E800" s="25">
        <v>5854.38</v>
      </c>
      <c r="F800" s="25">
        <v>3882.39</v>
      </c>
      <c r="G800" s="26">
        <f>T_Ventes[[#This Row],[CA HT]]-T_Ventes[[#This Row],[Coût achat HT]]</f>
        <v>1971.9900000000002</v>
      </c>
      <c r="H800" s="27">
        <f>DATE(YEAR(T_Ventes[[#This Row],[Date facture]]),MONTH(T_Ventes[[#This Row],[Date facture]]),1)</f>
        <v>46174</v>
      </c>
      <c r="I800" s="28">
        <f>YEAR(T_Ventes[[#This Row],[Date facture]])</f>
        <v>2026</v>
      </c>
    </row>
    <row r="801" spans="1:9" x14ac:dyDescent="0.3">
      <c r="A801" s="23">
        <v>46195</v>
      </c>
      <c r="B801" s="24" t="s">
        <v>896</v>
      </c>
      <c r="C801" s="24" t="s">
        <v>56</v>
      </c>
      <c r="D801" s="24" t="s">
        <v>64</v>
      </c>
      <c r="E801" s="25">
        <v>4936.57</v>
      </c>
      <c r="F801" s="25">
        <v>4040.04</v>
      </c>
      <c r="G801" s="26">
        <f>T_Ventes[[#This Row],[CA HT]]-T_Ventes[[#This Row],[Coût achat HT]]</f>
        <v>896.52999999999975</v>
      </c>
      <c r="H801" s="27">
        <f>DATE(YEAR(T_Ventes[[#This Row],[Date facture]]),MONTH(T_Ventes[[#This Row],[Date facture]]),1)</f>
        <v>46174</v>
      </c>
      <c r="I801" s="28">
        <f>YEAR(T_Ventes[[#This Row],[Date facture]])</f>
        <v>2026</v>
      </c>
    </row>
    <row r="802" spans="1:9" x14ac:dyDescent="0.3">
      <c r="A802" s="23">
        <v>46195</v>
      </c>
      <c r="B802" s="24" t="s">
        <v>897</v>
      </c>
      <c r="C802" s="24" t="s">
        <v>128</v>
      </c>
      <c r="D802" s="24" t="s">
        <v>57</v>
      </c>
      <c r="E802" s="25">
        <v>3375.54</v>
      </c>
      <c r="F802" s="25">
        <v>2240.2199999999998</v>
      </c>
      <c r="G802" s="26">
        <f>T_Ventes[[#This Row],[CA HT]]-T_Ventes[[#This Row],[Coût achat HT]]</f>
        <v>1135.3200000000002</v>
      </c>
      <c r="H802" s="27">
        <f>DATE(YEAR(T_Ventes[[#This Row],[Date facture]]),MONTH(T_Ventes[[#This Row],[Date facture]]),1)</f>
        <v>46174</v>
      </c>
      <c r="I802" s="28">
        <f>YEAR(T_Ventes[[#This Row],[Date facture]])</f>
        <v>2026</v>
      </c>
    </row>
    <row r="803" spans="1:9" x14ac:dyDescent="0.3">
      <c r="A803" s="23">
        <v>46196</v>
      </c>
      <c r="B803" s="24" t="s">
        <v>898</v>
      </c>
      <c r="C803" s="24" t="s">
        <v>208</v>
      </c>
      <c r="D803" s="24" t="s">
        <v>64</v>
      </c>
      <c r="E803" s="25">
        <v>5121.5</v>
      </c>
      <c r="F803" s="25">
        <v>4193.6400000000003</v>
      </c>
      <c r="G803" s="26">
        <f>T_Ventes[[#This Row],[CA HT]]-T_Ventes[[#This Row],[Coût achat HT]]</f>
        <v>927.85999999999967</v>
      </c>
      <c r="H803" s="27">
        <f>DATE(YEAR(T_Ventes[[#This Row],[Date facture]]),MONTH(T_Ventes[[#This Row],[Date facture]]),1)</f>
        <v>46174</v>
      </c>
      <c r="I803" s="28">
        <f>YEAR(T_Ventes[[#This Row],[Date facture]])</f>
        <v>2026</v>
      </c>
    </row>
    <row r="804" spans="1:9" x14ac:dyDescent="0.3">
      <c r="A804" s="23">
        <v>46196</v>
      </c>
      <c r="B804" s="24" t="s">
        <v>899</v>
      </c>
      <c r="C804" s="24" t="s">
        <v>56</v>
      </c>
      <c r="D804" s="24" t="s">
        <v>57</v>
      </c>
      <c r="E804" s="25">
        <v>3128.53</v>
      </c>
      <c r="F804" s="25">
        <v>2082.91</v>
      </c>
      <c r="G804" s="26">
        <f>T_Ventes[[#This Row],[CA HT]]-T_Ventes[[#This Row],[Coût achat HT]]</f>
        <v>1045.6200000000003</v>
      </c>
      <c r="H804" s="27">
        <f>DATE(YEAR(T_Ventes[[#This Row],[Date facture]]),MONTH(T_Ventes[[#This Row],[Date facture]]),1)</f>
        <v>46174</v>
      </c>
      <c r="I804" s="28">
        <f>YEAR(T_Ventes[[#This Row],[Date facture]])</f>
        <v>2026</v>
      </c>
    </row>
    <row r="805" spans="1:9" x14ac:dyDescent="0.3">
      <c r="A805" s="23">
        <v>46196</v>
      </c>
      <c r="B805" s="24" t="s">
        <v>900</v>
      </c>
      <c r="C805" s="24" t="s">
        <v>139</v>
      </c>
      <c r="D805" s="24" t="s">
        <v>59</v>
      </c>
      <c r="E805" s="25">
        <v>3431.14</v>
      </c>
      <c r="F805" s="25">
        <v>1236.98</v>
      </c>
      <c r="G805" s="26">
        <f>T_Ventes[[#This Row],[CA HT]]-T_Ventes[[#This Row],[Coût achat HT]]</f>
        <v>2194.16</v>
      </c>
      <c r="H805" s="27">
        <f>DATE(YEAR(T_Ventes[[#This Row],[Date facture]]),MONTH(T_Ventes[[#This Row],[Date facture]]),1)</f>
        <v>46174</v>
      </c>
      <c r="I805" s="28">
        <f>YEAR(T_Ventes[[#This Row],[Date facture]])</f>
        <v>2026</v>
      </c>
    </row>
    <row r="806" spans="1:9" x14ac:dyDescent="0.3">
      <c r="A806" s="23">
        <v>46197</v>
      </c>
      <c r="B806" s="24" t="s">
        <v>901</v>
      </c>
      <c r="C806" s="24" t="s">
        <v>115</v>
      </c>
      <c r="D806" s="24" t="s">
        <v>64</v>
      </c>
      <c r="E806" s="25">
        <v>1677.84</v>
      </c>
      <c r="F806" s="25">
        <v>1351.78</v>
      </c>
      <c r="G806" s="26">
        <f>T_Ventes[[#This Row],[CA HT]]-T_Ventes[[#This Row],[Coût achat HT]]</f>
        <v>326.05999999999995</v>
      </c>
      <c r="H806" s="27">
        <f>DATE(YEAR(T_Ventes[[#This Row],[Date facture]]),MONTH(T_Ventes[[#This Row],[Date facture]]),1)</f>
        <v>46174</v>
      </c>
      <c r="I806" s="28">
        <f>YEAR(T_Ventes[[#This Row],[Date facture]])</f>
        <v>2026</v>
      </c>
    </row>
    <row r="807" spans="1:9" x14ac:dyDescent="0.3">
      <c r="A807" s="23">
        <v>46197</v>
      </c>
      <c r="B807" s="24" t="s">
        <v>902</v>
      </c>
      <c r="C807" s="24" t="s">
        <v>68</v>
      </c>
      <c r="D807" s="24" t="s">
        <v>64</v>
      </c>
      <c r="E807" s="25">
        <v>5200.74</v>
      </c>
      <c r="F807" s="25">
        <v>4255.97</v>
      </c>
      <c r="G807" s="26">
        <f>T_Ventes[[#This Row],[CA HT]]-T_Ventes[[#This Row],[Coût achat HT]]</f>
        <v>944.76999999999953</v>
      </c>
      <c r="H807" s="27">
        <f>DATE(YEAR(T_Ventes[[#This Row],[Date facture]]),MONTH(T_Ventes[[#This Row],[Date facture]]),1)</f>
        <v>46174</v>
      </c>
      <c r="I807" s="28">
        <f>YEAR(T_Ventes[[#This Row],[Date facture]])</f>
        <v>2026</v>
      </c>
    </row>
    <row r="808" spans="1:9" x14ac:dyDescent="0.3">
      <c r="A808" s="23">
        <v>46197</v>
      </c>
      <c r="B808" s="24" t="s">
        <v>903</v>
      </c>
      <c r="C808" s="24" t="s">
        <v>162</v>
      </c>
      <c r="D808" s="24" t="s">
        <v>71</v>
      </c>
      <c r="E808" s="25">
        <v>4803.9799999999996</v>
      </c>
      <c r="F808" s="25">
        <v>2905.86</v>
      </c>
      <c r="G808" s="26">
        <f>T_Ventes[[#This Row],[CA HT]]-T_Ventes[[#This Row],[Coût achat HT]]</f>
        <v>1898.1199999999994</v>
      </c>
      <c r="H808" s="27">
        <f>DATE(YEAR(T_Ventes[[#This Row],[Date facture]]),MONTH(T_Ventes[[#This Row],[Date facture]]),1)</f>
        <v>46174</v>
      </c>
      <c r="I808" s="28">
        <f>YEAR(T_Ventes[[#This Row],[Date facture]])</f>
        <v>2026</v>
      </c>
    </row>
    <row r="809" spans="1:9" x14ac:dyDescent="0.3">
      <c r="A809" s="23">
        <v>46197</v>
      </c>
      <c r="B809" s="24" t="s">
        <v>904</v>
      </c>
      <c r="C809" s="24" t="s">
        <v>66</v>
      </c>
      <c r="D809" s="24" t="s">
        <v>59</v>
      </c>
      <c r="E809" s="25">
        <v>2116.31</v>
      </c>
      <c r="F809" s="25">
        <v>839.06</v>
      </c>
      <c r="G809" s="26">
        <f>T_Ventes[[#This Row],[CA HT]]-T_Ventes[[#This Row],[Coût achat HT]]</f>
        <v>1277.25</v>
      </c>
      <c r="H809" s="27">
        <f>DATE(YEAR(T_Ventes[[#This Row],[Date facture]]),MONTH(T_Ventes[[#This Row],[Date facture]]),1)</f>
        <v>46174</v>
      </c>
      <c r="I809" s="28">
        <f>YEAR(T_Ventes[[#This Row],[Date facture]])</f>
        <v>2026</v>
      </c>
    </row>
    <row r="810" spans="1:9" x14ac:dyDescent="0.3">
      <c r="A810" s="23">
        <v>46200</v>
      </c>
      <c r="B810" s="24" t="s">
        <v>905</v>
      </c>
      <c r="C810" s="24" t="s">
        <v>61</v>
      </c>
      <c r="D810" s="24" t="s">
        <v>64</v>
      </c>
      <c r="E810" s="25">
        <v>1255.3900000000001</v>
      </c>
      <c r="F810" s="25">
        <v>1022.88</v>
      </c>
      <c r="G810" s="26">
        <f>T_Ventes[[#This Row],[CA HT]]-T_Ventes[[#This Row],[Coût achat HT]]</f>
        <v>232.5100000000001</v>
      </c>
      <c r="H810" s="27">
        <f>DATE(YEAR(T_Ventes[[#This Row],[Date facture]]),MONTH(T_Ventes[[#This Row],[Date facture]]),1)</f>
        <v>46174</v>
      </c>
      <c r="I810" s="28">
        <f>YEAR(T_Ventes[[#This Row],[Date facture]])</f>
        <v>2026</v>
      </c>
    </row>
    <row r="811" spans="1:9" x14ac:dyDescent="0.3">
      <c r="A811" s="23">
        <v>46200</v>
      </c>
      <c r="B811" s="24" t="s">
        <v>906</v>
      </c>
      <c r="C811" s="24" t="s">
        <v>108</v>
      </c>
      <c r="D811" s="24" t="s">
        <v>57</v>
      </c>
      <c r="E811" s="25">
        <v>1808.52</v>
      </c>
      <c r="F811" s="25">
        <v>1175.6500000000001</v>
      </c>
      <c r="G811" s="26">
        <f>T_Ventes[[#This Row],[CA HT]]-T_Ventes[[#This Row],[Coût achat HT]]</f>
        <v>632.86999999999989</v>
      </c>
      <c r="H811" s="27">
        <f>DATE(YEAR(T_Ventes[[#This Row],[Date facture]]),MONTH(T_Ventes[[#This Row],[Date facture]]),1)</f>
        <v>46174</v>
      </c>
      <c r="I811" s="28">
        <f>YEAR(T_Ventes[[#This Row],[Date facture]])</f>
        <v>2026</v>
      </c>
    </row>
    <row r="812" spans="1:9" x14ac:dyDescent="0.3">
      <c r="A812" s="23">
        <v>46200</v>
      </c>
      <c r="B812" s="24" t="s">
        <v>907</v>
      </c>
      <c r="C812" s="24" t="s">
        <v>103</v>
      </c>
      <c r="D812" s="24" t="s">
        <v>59</v>
      </c>
      <c r="E812" s="25">
        <v>4283.82</v>
      </c>
      <c r="F812" s="25">
        <v>1575.51</v>
      </c>
      <c r="G812" s="26">
        <f>T_Ventes[[#This Row],[CA HT]]-T_Ventes[[#This Row],[Coût achat HT]]</f>
        <v>2708.3099999999995</v>
      </c>
      <c r="H812" s="27">
        <f>DATE(YEAR(T_Ventes[[#This Row],[Date facture]]),MONTH(T_Ventes[[#This Row],[Date facture]]),1)</f>
        <v>46174</v>
      </c>
      <c r="I812" s="28">
        <f>YEAR(T_Ventes[[#This Row],[Date facture]])</f>
        <v>2026</v>
      </c>
    </row>
    <row r="813" spans="1:9" x14ac:dyDescent="0.3">
      <c r="A813" s="23">
        <v>46201</v>
      </c>
      <c r="B813" s="24" t="s">
        <v>908</v>
      </c>
      <c r="C813" s="24" t="s">
        <v>80</v>
      </c>
      <c r="D813" s="24" t="s">
        <v>57</v>
      </c>
      <c r="E813" s="25">
        <v>5050.78</v>
      </c>
      <c r="F813" s="25">
        <v>3273.87</v>
      </c>
      <c r="G813" s="26">
        <f>T_Ventes[[#This Row],[CA HT]]-T_Ventes[[#This Row],[Coût achat HT]]</f>
        <v>1776.9099999999999</v>
      </c>
      <c r="H813" s="27">
        <f>DATE(YEAR(T_Ventes[[#This Row],[Date facture]]),MONTH(T_Ventes[[#This Row],[Date facture]]),1)</f>
        <v>46174</v>
      </c>
      <c r="I813" s="28">
        <f>YEAR(T_Ventes[[#This Row],[Date facture]])</f>
        <v>2026</v>
      </c>
    </row>
    <row r="814" spans="1:9" x14ac:dyDescent="0.3">
      <c r="A814" s="23">
        <v>46201</v>
      </c>
      <c r="B814" s="24" t="s">
        <v>909</v>
      </c>
      <c r="C814" s="24" t="s">
        <v>68</v>
      </c>
      <c r="D814" s="24" t="s">
        <v>59</v>
      </c>
      <c r="E814" s="25">
        <v>1768.25</v>
      </c>
      <c r="F814" s="25">
        <v>649.29</v>
      </c>
      <c r="G814" s="26">
        <f>T_Ventes[[#This Row],[CA HT]]-T_Ventes[[#This Row],[Coût achat HT]]</f>
        <v>1118.96</v>
      </c>
      <c r="H814" s="27">
        <f>DATE(YEAR(T_Ventes[[#This Row],[Date facture]]),MONTH(T_Ventes[[#This Row],[Date facture]]),1)</f>
        <v>46174</v>
      </c>
      <c r="I814" s="28">
        <f>YEAR(T_Ventes[[#This Row],[Date facture]])</f>
        <v>2026</v>
      </c>
    </row>
    <row r="815" spans="1:9" x14ac:dyDescent="0.3">
      <c r="A815" s="23">
        <v>46204</v>
      </c>
      <c r="B815" s="24" t="s">
        <v>910</v>
      </c>
      <c r="C815" s="24" t="s">
        <v>56</v>
      </c>
      <c r="D815" s="24" t="s">
        <v>64</v>
      </c>
      <c r="E815" s="25">
        <v>4026.4</v>
      </c>
      <c r="F815" s="25">
        <v>3246.7</v>
      </c>
      <c r="G815" s="26">
        <f>T_Ventes[[#This Row],[CA HT]]-T_Ventes[[#This Row],[Coût achat HT]]</f>
        <v>779.70000000000027</v>
      </c>
      <c r="H815" s="27">
        <f>DATE(YEAR(T_Ventes[[#This Row],[Date facture]]),MONTH(T_Ventes[[#This Row],[Date facture]]),1)</f>
        <v>46204</v>
      </c>
      <c r="I815" s="28">
        <f>YEAR(T_Ventes[[#This Row],[Date facture]])</f>
        <v>2026</v>
      </c>
    </row>
    <row r="816" spans="1:9" x14ac:dyDescent="0.3">
      <c r="A816" s="23">
        <v>46206</v>
      </c>
      <c r="B816" s="24" t="s">
        <v>911</v>
      </c>
      <c r="C816" s="24" t="s">
        <v>177</v>
      </c>
      <c r="D816" s="24" t="s">
        <v>57</v>
      </c>
      <c r="E816" s="25">
        <v>5354.42</v>
      </c>
      <c r="F816" s="25">
        <v>3554.59</v>
      </c>
      <c r="G816" s="26">
        <f>T_Ventes[[#This Row],[CA HT]]-T_Ventes[[#This Row],[Coût achat HT]]</f>
        <v>1799.83</v>
      </c>
      <c r="H816" s="27">
        <f>DATE(YEAR(T_Ventes[[#This Row],[Date facture]]),MONTH(T_Ventes[[#This Row],[Date facture]]),1)</f>
        <v>46204</v>
      </c>
      <c r="I816" s="28">
        <f>YEAR(T_Ventes[[#This Row],[Date facture]])</f>
        <v>2026</v>
      </c>
    </row>
    <row r="817" spans="1:9" x14ac:dyDescent="0.3">
      <c r="A817" s="23">
        <v>46206</v>
      </c>
      <c r="B817" s="24" t="s">
        <v>912</v>
      </c>
      <c r="C817" s="24" t="s">
        <v>78</v>
      </c>
      <c r="D817" s="24" t="s">
        <v>57</v>
      </c>
      <c r="E817" s="25">
        <v>1599.01</v>
      </c>
      <c r="F817" s="25">
        <v>1057</v>
      </c>
      <c r="G817" s="26">
        <f>T_Ventes[[#This Row],[CA HT]]-T_Ventes[[#This Row],[Coût achat HT]]</f>
        <v>542.01</v>
      </c>
      <c r="H817" s="27">
        <f>DATE(YEAR(T_Ventes[[#This Row],[Date facture]]),MONTH(T_Ventes[[#This Row],[Date facture]]),1)</f>
        <v>46204</v>
      </c>
      <c r="I817" s="28">
        <f>YEAR(T_Ventes[[#This Row],[Date facture]])</f>
        <v>2026</v>
      </c>
    </row>
    <row r="818" spans="1:9" x14ac:dyDescent="0.3">
      <c r="A818" s="23">
        <v>46210</v>
      </c>
      <c r="B818" s="24" t="s">
        <v>913</v>
      </c>
      <c r="C818" s="24" t="s">
        <v>73</v>
      </c>
      <c r="D818" s="24" t="s">
        <v>64</v>
      </c>
      <c r="E818" s="25">
        <v>5211.8900000000003</v>
      </c>
      <c r="F818" s="25">
        <v>4199</v>
      </c>
      <c r="G818" s="26">
        <f>T_Ventes[[#This Row],[CA HT]]-T_Ventes[[#This Row],[Coût achat HT]]</f>
        <v>1012.8900000000003</v>
      </c>
      <c r="H818" s="27">
        <f>DATE(YEAR(T_Ventes[[#This Row],[Date facture]]),MONTH(T_Ventes[[#This Row],[Date facture]]),1)</f>
        <v>46204</v>
      </c>
      <c r="I818" s="28">
        <f>YEAR(T_Ventes[[#This Row],[Date facture]])</f>
        <v>2026</v>
      </c>
    </row>
    <row r="819" spans="1:9" x14ac:dyDescent="0.3">
      <c r="A819" s="23">
        <v>46210</v>
      </c>
      <c r="B819" s="24" t="s">
        <v>914</v>
      </c>
      <c r="C819" s="24" t="s">
        <v>78</v>
      </c>
      <c r="D819" s="24" t="s">
        <v>59</v>
      </c>
      <c r="E819" s="25">
        <v>1582.77</v>
      </c>
      <c r="F819" s="25">
        <v>599.24</v>
      </c>
      <c r="G819" s="26">
        <f>T_Ventes[[#This Row],[CA HT]]-T_Ventes[[#This Row],[Coût achat HT]]</f>
        <v>983.53</v>
      </c>
      <c r="H819" s="27">
        <f>DATE(YEAR(T_Ventes[[#This Row],[Date facture]]),MONTH(T_Ventes[[#This Row],[Date facture]]),1)</f>
        <v>46204</v>
      </c>
      <c r="I819" s="28">
        <f>YEAR(T_Ventes[[#This Row],[Date facture]])</f>
        <v>2026</v>
      </c>
    </row>
    <row r="820" spans="1:9" x14ac:dyDescent="0.3">
      <c r="A820" s="23">
        <v>46211</v>
      </c>
      <c r="B820" s="24" t="s">
        <v>915</v>
      </c>
      <c r="C820" s="24" t="s">
        <v>100</v>
      </c>
      <c r="D820" s="24" t="s">
        <v>57</v>
      </c>
      <c r="E820" s="25">
        <v>4244.51</v>
      </c>
      <c r="F820" s="25">
        <v>2851.5</v>
      </c>
      <c r="G820" s="26">
        <f>T_Ventes[[#This Row],[CA HT]]-T_Ventes[[#This Row],[Coût achat HT]]</f>
        <v>1393.0100000000002</v>
      </c>
      <c r="H820" s="27">
        <f>DATE(YEAR(T_Ventes[[#This Row],[Date facture]]),MONTH(T_Ventes[[#This Row],[Date facture]]),1)</f>
        <v>46204</v>
      </c>
      <c r="I820" s="28">
        <f>YEAR(T_Ventes[[#This Row],[Date facture]])</f>
        <v>2026</v>
      </c>
    </row>
    <row r="821" spans="1:9" x14ac:dyDescent="0.3">
      <c r="A821" s="23">
        <v>46211</v>
      </c>
      <c r="B821" s="24" t="s">
        <v>916</v>
      </c>
      <c r="C821" s="24" t="s">
        <v>56</v>
      </c>
      <c r="D821" s="24" t="s">
        <v>71</v>
      </c>
      <c r="E821" s="25">
        <v>4905.92</v>
      </c>
      <c r="F821" s="25">
        <v>2901.3</v>
      </c>
      <c r="G821" s="26">
        <f>T_Ventes[[#This Row],[CA HT]]-T_Ventes[[#This Row],[Coût achat HT]]</f>
        <v>2004.62</v>
      </c>
      <c r="H821" s="27">
        <f>DATE(YEAR(T_Ventes[[#This Row],[Date facture]]),MONTH(T_Ventes[[#This Row],[Date facture]]),1)</f>
        <v>46204</v>
      </c>
      <c r="I821" s="28">
        <f>YEAR(T_Ventes[[#This Row],[Date facture]])</f>
        <v>2026</v>
      </c>
    </row>
    <row r="822" spans="1:9" x14ac:dyDescent="0.3">
      <c r="A822" s="23">
        <v>46212</v>
      </c>
      <c r="B822" s="24" t="s">
        <v>917</v>
      </c>
      <c r="C822" s="24" t="s">
        <v>73</v>
      </c>
      <c r="D822" s="24" t="s">
        <v>57</v>
      </c>
      <c r="E822" s="25">
        <v>4437.33</v>
      </c>
      <c r="F822" s="25">
        <v>2893.21</v>
      </c>
      <c r="G822" s="26">
        <f>T_Ventes[[#This Row],[CA HT]]-T_Ventes[[#This Row],[Coût achat HT]]</f>
        <v>1544.12</v>
      </c>
      <c r="H822" s="27">
        <f>DATE(YEAR(T_Ventes[[#This Row],[Date facture]]),MONTH(T_Ventes[[#This Row],[Date facture]]),1)</f>
        <v>46204</v>
      </c>
      <c r="I822" s="28">
        <f>YEAR(T_Ventes[[#This Row],[Date facture]])</f>
        <v>2026</v>
      </c>
    </row>
    <row r="823" spans="1:9" x14ac:dyDescent="0.3">
      <c r="A823" s="23">
        <v>46212</v>
      </c>
      <c r="B823" s="24" t="s">
        <v>918</v>
      </c>
      <c r="C823" s="24" t="s">
        <v>73</v>
      </c>
      <c r="D823" s="24" t="s">
        <v>57</v>
      </c>
      <c r="E823" s="25">
        <v>2825.21</v>
      </c>
      <c r="F823" s="25">
        <v>1856.95</v>
      </c>
      <c r="G823" s="26">
        <f>T_Ventes[[#This Row],[CA HT]]-T_Ventes[[#This Row],[Coût achat HT]]</f>
        <v>968.26</v>
      </c>
      <c r="H823" s="27">
        <f>DATE(YEAR(T_Ventes[[#This Row],[Date facture]]),MONTH(T_Ventes[[#This Row],[Date facture]]),1)</f>
        <v>46204</v>
      </c>
      <c r="I823" s="28">
        <f>YEAR(T_Ventes[[#This Row],[Date facture]])</f>
        <v>2026</v>
      </c>
    </row>
    <row r="824" spans="1:9" x14ac:dyDescent="0.3">
      <c r="A824" s="23">
        <v>46212</v>
      </c>
      <c r="B824" s="24" t="s">
        <v>919</v>
      </c>
      <c r="C824" s="24" t="s">
        <v>177</v>
      </c>
      <c r="D824" s="24" t="s">
        <v>71</v>
      </c>
      <c r="E824" s="25">
        <v>1522.24</v>
      </c>
      <c r="F824" s="25">
        <v>889.41</v>
      </c>
      <c r="G824" s="26">
        <f>T_Ventes[[#This Row],[CA HT]]-T_Ventes[[#This Row],[Coût achat HT]]</f>
        <v>632.83000000000004</v>
      </c>
      <c r="H824" s="27">
        <f>DATE(YEAR(T_Ventes[[#This Row],[Date facture]]),MONTH(T_Ventes[[#This Row],[Date facture]]),1)</f>
        <v>46204</v>
      </c>
      <c r="I824" s="28">
        <f>YEAR(T_Ventes[[#This Row],[Date facture]])</f>
        <v>2026</v>
      </c>
    </row>
    <row r="825" spans="1:9" x14ac:dyDescent="0.3">
      <c r="A825" s="23">
        <v>46213</v>
      </c>
      <c r="B825" s="24" t="s">
        <v>920</v>
      </c>
      <c r="C825" s="24" t="s">
        <v>63</v>
      </c>
      <c r="D825" s="24" t="s">
        <v>64</v>
      </c>
      <c r="E825" s="25">
        <v>3633.37</v>
      </c>
      <c r="F825" s="25">
        <v>2960.42</v>
      </c>
      <c r="G825" s="26">
        <f>T_Ventes[[#This Row],[CA HT]]-T_Ventes[[#This Row],[Coût achat HT]]</f>
        <v>672.94999999999982</v>
      </c>
      <c r="H825" s="27">
        <f>DATE(YEAR(T_Ventes[[#This Row],[Date facture]]),MONTH(T_Ventes[[#This Row],[Date facture]]),1)</f>
        <v>46204</v>
      </c>
      <c r="I825" s="28">
        <f>YEAR(T_Ventes[[#This Row],[Date facture]])</f>
        <v>2026</v>
      </c>
    </row>
    <row r="826" spans="1:9" x14ac:dyDescent="0.3">
      <c r="A826" s="23">
        <v>46213</v>
      </c>
      <c r="B826" s="24" t="s">
        <v>921</v>
      </c>
      <c r="C826" s="24" t="s">
        <v>56</v>
      </c>
      <c r="D826" s="24" t="s">
        <v>64</v>
      </c>
      <c r="E826" s="25">
        <v>2309.04</v>
      </c>
      <c r="F826" s="25">
        <v>1881.75</v>
      </c>
      <c r="G826" s="26">
        <f>T_Ventes[[#This Row],[CA HT]]-T_Ventes[[#This Row],[Coût achat HT]]</f>
        <v>427.28999999999996</v>
      </c>
      <c r="H826" s="27">
        <f>DATE(YEAR(T_Ventes[[#This Row],[Date facture]]),MONTH(T_Ventes[[#This Row],[Date facture]]),1)</f>
        <v>46204</v>
      </c>
      <c r="I826" s="28">
        <f>YEAR(T_Ventes[[#This Row],[Date facture]])</f>
        <v>2026</v>
      </c>
    </row>
    <row r="827" spans="1:9" x14ac:dyDescent="0.3">
      <c r="A827" s="23">
        <v>46213</v>
      </c>
      <c r="B827" s="24" t="s">
        <v>922</v>
      </c>
      <c r="C827" s="24" t="s">
        <v>100</v>
      </c>
      <c r="D827" s="24" t="s">
        <v>57</v>
      </c>
      <c r="E827" s="25">
        <v>1258.79</v>
      </c>
      <c r="F827" s="25">
        <v>810.38</v>
      </c>
      <c r="G827" s="26">
        <f>T_Ventes[[#This Row],[CA HT]]-T_Ventes[[#This Row],[Coût achat HT]]</f>
        <v>448.40999999999997</v>
      </c>
      <c r="H827" s="27">
        <f>DATE(YEAR(T_Ventes[[#This Row],[Date facture]]),MONTH(T_Ventes[[#This Row],[Date facture]]),1)</f>
        <v>46204</v>
      </c>
      <c r="I827" s="28">
        <f>YEAR(T_Ventes[[#This Row],[Date facture]])</f>
        <v>2026</v>
      </c>
    </row>
    <row r="828" spans="1:9" x14ac:dyDescent="0.3">
      <c r="A828" s="23">
        <v>46213</v>
      </c>
      <c r="B828" s="24" t="s">
        <v>923</v>
      </c>
      <c r="C828" s="24" t="s">
        <v>115</v>
      </c>
      <c r="D828" s="24" t="s">
        <v>57</v>
      </c>
      <c r="E828" s="25">
        <v>6059.37</v>
      </c>
      <c r="F828" s="25">
        <v>3972.72</v>
      </c>
      <c r="G828" s="26">
        <f>T_Ventes[[#This Row],[CA HT]]-T_Ventes[[#This Row],[Coût achat HT]]</f>
        <v>2086.65</v>
      </c>
      <c r="H828" s="27">
        <f>DATE(YEAR(T_Ventes[[#This Row],[Date facture]]),MONTH(T_Ventes[[#This Row],[Date facture]]),1)</f>
        <v>46204</v>
      </c>
      <c r="I828" s="28">
        <f>YEAR(T_Ventes[[#This Row],[Date facture]])</f>
        <v>2026</v>
      </c>
    </row>
    <row r="829" spans="1:9" x14ac:dyDescent="0.3">
      <c r="A829" s="23">
        <v>46214</v>
      </c>
      <c r="B829" s="24" t="s">
        <v>924</v>
      </c>
      <c r="C829" s="24" t="s">
        <v>108</v>
      </c>
      <c r="D829" s="24" t="s">
        <v>57</v>
      </c>
      <c r="E829" s="25">
        <v>2611.29</v>
      </c>
      <c r="F829" s="25">
        <v>1742.72</v>
      </c>
      <c r="G829" s="26">
        <f>T_Ventes[[#This Row],[CA HT]]-T_Ventes[[#This Row],[Coût achat HT]]</f>
        <v>868.56999999999994</v>
      </c>
      <c r="H829" s="27">
        <f>DATE(YEAR(T_Ventes[[#This Row],[Date facture]]),MONTH(T_Ventes[[#This Row],[Date facture]]),1)</f>
        <v>46204</v>
      </c>
      <c r="I829" s="28">
        <f>YEAR(T_Ventes[[#This Row],[Date facture]])</f>
        <v>2026</v>
      </c>
    </row>
    <row r="830" spans="1:9" x14ac:dyDescent="0.3">
      <c r="A830" s="23">
        <v>46214</v>
      </c>
      <c r="B830" s="24" t="s">
        <v>925</v>
      </c>
      <c r="C830" s="24" t="s">
        <v>108</v>
      </c>
      <c r="D830" s="24" t="s">
        <v>71</v>
      </c>
      <c r="E830" s="25">
        <v>2663.91</v>
      </c>
      <c r="F830" s="25">
        <v>1532.5</v>
      </c>
      <c r="G830" s="26">
        <f>T_Ventes[[#This Row],[CA HT]]-T_Ventes[[#This Row],[Coût achat HT]]</f>
        <v>1131.4099999999999</v>
      </c>
      <c r="H830" s="27">
        <f>DATE(YEAR(T_Ventes[[#This Row],[Date facture]]),MONTH(T_Ventes[[#This Row],[Date facture]]),1)</f>
        <v>46204</v>
      </c>
      <c r="I830" s="28">
        <f>YEAR(T_Ventes[[#This Row],[Date facture]])</f>
        <v>2026</v>
      </c>
    </row>
    <row r="831" spans="1:9" x14ac:dyDescent="0.3">
      <c r="A831" s="23">
        <v>46215</v>
      </c>
      <c r="B831" s="24" t="s">
        <v>926</v>
      </c>
      <c r="C831" s="24" t="s">
        <v>105</v>
      </c>
      <c r="D831" s="24" t="s">
        <v>64</v>
      </c>
      <c r="E831" s="25">
        <v>5792.39</v>
      </c>
      <c r="F831" s="25">
        <v>4712.62</v>
      </c>
      <c r="G831" s="26">
        <f>T_Ventes[[#This Row],[CA HT]]-T_Ventes[[#This Row],[Coût achat HT]]</f>
        <v>1079.7700000000004</v>
      </c>
      <c r="H831" s="27">
        <f>DATE(YEAR(T_Ventes[[#This Row],[Date facture]]),MONTH(T_Ventes[[#This Row],[Date facture]]),1)</f>
        <v>46204</v>
      </c>
      <c r="I831" s="28">
        <f>YEAR(T_Ventes[[#This Row],[Date facture]])</f>
        <v>2026</v>
      </c>
    </row>
    <row r="832" spans="1:9" x14ac:dyDescent="0.3">
      <c r="A832" s="23">
        <v>46215</v>
      </c>
      <c r="B832" s="24" t="s">
        <v>927</v>
      </c>
      <c r="C832" s="24" t="s">
        <v>56</v>
      </c>
      <c r="D832" s="24" t="s">
        <v>64</v>
      </c>
      <c r="E832" s="25">
        <v>5257.13</v>
      </c>
      <c r="F832" s="25">
        <v>4224.1099999999997</v>
      </c>
      <c r="G832" s="26">
        <f>T_Ventes[[#This Row],[CA HT]]-T_Ventes[[#This Row],[Coût achat HT]]</f>
        <v>1033.0200000000004</v>
      </c>
      <c r="H832" s="27">
        <f>DATE(YEAR(T_Ventes[[#This Row],[Date facture]]),MONTH(T_Ventes[[#This Row],[Date facture]]),1)</f>
        <v>46204</v>
      </c>
      <c r="I832" s="28">
        <f>YEAR(T_Ventes[[#This Row],[Date facture]])</f>
        <v>2026</v>
      </c>
    </row>
    <row r="833" spans="1:9" x14ac:dyDescent="0.3">
      <c r="A833" s="23">
        <v>46215</v>
      </c>
      <c r="B833" s="24" t="s">
        <v>928</v>
      </c>
      <c r="C833" s="24" t="s">
        <v>115</v>
      </c>
      <c r="D833" s="24" t="s">
        <v>59</v>
      </c>
      <c r="E833" s="25">
        <v>5832.65</v>
      </c>
      <c r="F833" s="25">
        <v>2279.31</v>
      </c>
      <c r="G833" s="26">
        <f>T_Ventes[[#This Row],[CA HT]]-T_Ventes[[#This Row],[Coût achat HT]]</f>
        <v>3553.3399999999997</v>
      </c>
      <c r="H833" s="27">
        <f>DATE(YEAR(T_Ventes[[#This Row],[Date facture]]),MONTH(T_Ventes[[#This Row],[Date facture]]),1)</f>
        <v>46204</v>
      </c>
      <c r="I833" s="28">
        <f>YEAR(T_Ventes[[#This Row],[Date facture]])</f>
        <v>2026</v>
      </c>
    </row>
    <row r="834" spans="1:9" x14ac:dyDescent="0.3">
      <c r="A834" s="23">
        <v>46216</v>
      </c>
      <c r="B834" s="24" t="s">
        <v>929</v>
      </c>
      <c r="C834" s="24" t="s">
        <v>121</v>
      </c>
      <c r="D834" s="24" t="s">
        <v>64</v>
      </c>
      <c r="E834" s="25">
        <v>8109.47</v>
      </c>
      <c r="F834" s="25">
        <v>6533.45</v>
      </c>
      <c r="G834" s="26">
        <f>T_Ventes[[#This Row],[CA HT]]-T_Ventes[[#This Row],[Coût achat HT]]</f>
        <v>1576.0200000000004</v>
      </c>
      <c r="H834" s="27">
        <f>DATE(YEAR(T_Ventes[[#This Row],[Date facture]]),MONTH(T_Ventes[[#This Row],[Date facture]]),1)</f>
        <v>46204</v>
      </c>
      <c r="I834" s="28">
        <f>YEAR(T_Ventes[[#This Row],[Date facture]])</f>
        <v>2026</v>
      </c>
    </row>
    <row r="835" spans="1:9" x14ac:dyDescent="0.3">
      <c r="A835" s="23">
        <v>46216</v>
      </c>
      <c r="B835" s="24" t="s">
        <v>930</v>
      </c>
      <c r="C835" s="24" t="s">
        <v>56</v>
      </c>
      <c r="D835" s="24" t="s">
        <v>57</v>
      </c>
      <c r="E835" s="25">
        <v>3704.31</v>
      </c>
      <c r="F835" s="25">
        <v>2388.7800000000002</v>
      </c>
      <c r="G835" s="26">
        <f>T_Ventes[[#This Row],[CA HT]]-T_Ventes[[#This Row],[Coût achat HT]]</f>
        <v>1315.5299999999997</v>
      </c>
      <c r="H835" s="27">
        <f>DATE(YEAR(T_Ventes[[#This Row],[Date facture]]),MONTH(T_Ventes[[#This Row],[Date facture]]),1)</f>
        <v>46204</v>
      </c>
      <c r="I835" s="28">
        <f>YEAR(T_Ventes[[#This Row],[Date facture]])</f>
        <v>2026</v>
      </c>
    </row>
    <row r="836" spans="1:9" x14ac:dyDescent="0.3">
      <c r="A836" s="23">
        <v>46216</v>
      </c>
      <c r="B836" s="24" t="s">
        <v>931</v>
      </c>
      <c r="C836" s="24" t="s">
        <v>76</v>
      </c>
      <c r="D836" s="24" t="s">
        <v>57</v>
      </c>
      <c r="E836" s="25">
        <v>2557.5300000000002</v>
      </c>
      <c r="F836" s="25">
        <v>1664.62</v>
      </c>
      <c r="G836" s="26">
        <f>T_Ventes[[#This Row],[CA HT]]-T_Ventes[[#This Row],[Coût achat HT]]</f>
        <v>892.91000000000031</v>
      </c>
      <c r="H836" s="27">
        <f>DATE(YEAR(T_Ventes[[#This Row],[Date facture]]),MONTH(T_Ventes[[#This Row],[Date facture]]),1)</f>
        <v>46204</v>
      </c>
      <c r="I836" s="28">
        <f>YEAR(T_Ventes[[#This Row],[Date facture]])</f>
        <v>2026</v>
      </c>
    </row>
    <row r="837" spans="1:9" x14ac:dyDescent="0.3">
      <c r="A837" s="23">
        <v>46216</v>
      </c>
      <c r="B837" s="24" t="s">
        <v>932</v>
      </c>
      <c r="C837" s="24" t="s">
        <v>108</v>
      </c>
      <c r="D837" s="24" t="s">
        <v>71</v>
      </c>
      <c r="E837" s="25">
        <v>6437.4</v>
      </c>
      <c r="F837" s="25">
        <v>3783.18</v>
      </c>
      <c r="G837" s="26">
        <f>T_Ventes[[#This Row],[CA HT]]-T_Ventes[[#This Row],[Coût achat HT]]</f>
        <v>2654.22</v>
      </c>
      <c r="H837" s="27">
        <f>DATE(YEAR(T_Ventes[[#This Row],[Date facture]]),MONTH(T_Ventes[[#This Row],[Date facture]]),1)</f>
        <v>46204</v>
      </c>
      <c r="I837" s="28">
        <f>YEAR(T_Ventes[[#This Row],[Date facture]])</f>
        <v>2026</v>
      </c>
    </row>
    <row r="838" spans="1:9" x14ac:dyDescent="0.3">
      <c r="A838" s="23">
        <v>46216</v>
      </c>
      <c r="B838" s="24" t="s">
        <v>933</v>
      </c>
      <c r="C838" s="24" t="s">
        <v>56</v>
      </c>
      <c r="D838" s="24" t="s">
        <v>59</v>
      </c>
      <c r="E838" s="25">
        <v>2086.9</v>
      </c>
      <c r="F838" s="25">
        <v>813.03</v>
      </c>
      <c r="G838" s="26">
        <f>T_Ventes[[#This Row],[CA HT]]-T_Ventes[[#This Row],[Coût achat HT]]</f>
        <v>1273.8700000000001</v>
      </c>
      <c r="H838" s="27">
        <f>DATE(YEAR(T_Ventes[[#This Row],[Date facture]]),MONTH(T_Ventes[[#This Row],[Date facture]]),1)</f>
        <v>46204</v>
      </c>
      <c r="I838" s="28">
        <f>YEAR(T_Ventes[[#This Row],[Date facture]])</f>
        <v>2026</v>
      </c>
    </row>
    <row r="839" spans="1:9" x14ac:dyDescent="0.3">
      <c r="A839" s="23">
        <v>46217</v>
      </c>
      <c r="B839" s="24" t="s">
        <v>934</v>
      </c>
      <c r="C839" s="24" t="s">
        <v>162</v>
      </c>
      <c r="D839" s="24" t="s">
        <v>64</v>
      </c>
      <c r="E839" s="25">
        <v>2661.46</v>
      </c>
      <c r="F839" s="25">
        <v>2177.27</v>
      </c>
      <c r="G839" s="26">
        <f>T_Ventes[[#This Row],[CA HT]]-T_Ventes[[#This Row],[Coût achat HT]]</f>
        <v>484.19000000000005</v>
      </c>
      <c r="H839" s="27">
        <f>DATE(YEAR(T_Ventes[[#This Row],[Date facture]]),MONTH(T_Ventes[[#This Row],[Date facture]]),1)</f>
        <v>46204</v>
      </c>
      <c r="I839" s="28">
        <f>YEAR(T_Ventes[[#This Row],[Date facture]])</f>
        <v>2026</v>
      </c>
    </row>
    <row r="840" spans="1:9" x14ac:dyDescent="0.3">
      <c r="A840" s="23">
        <v>46217</v>
      </c>
      <c r="B840" s="24" t="s">
        <v>935</v>
      </c>
      <c r="C840" s="24" t="s">
        <v>105</v>
      </c>
      <c r="D840" s="24" t="s">
        <v>71</v>
      </c>
      <c r="E840" s="25">
        <v>2847.7</v>
      </c>
      <c r="F840" s="25">
        <v>1655.54</v>
      </c>
      <c r="G840" s="26">
        <f>T_Ventes[[#This Row],[CA HT]]-T_Ventes[[#This Row],[Coût achat HT]]</f>
        <v>1192.1599999999999</v>
      </c>
      <c r="H840" s="27">
        <f>DATE(YEAR(T_Ventes[[#This Row],[Date facture]]),MONTH(T_Ventes[[#This Row],[Date facture]]),1)</f>
        <v>46204</v>
      </c>
      <c r="I840" s="28">
        <f>YEAR(T_Ventes[[#This Row],[Date facture]])</f>
        <v>2026</v>
      </c>
    </row>
    <row r="841" spans="1:9" x14ac:dyDescent="0.3">
      <c r="A841" s="23">
        <v>46218</v>
      </c>
      <c r="B841" s="24" t="s">
        <v>936</v>
      </c>
      <c r="C841" s="24" t="s">
        <v>103</v>
      </c>
      <c r="D841" s="24" t="s">
        <v>64</v>
      </c>
      <c r="E841" s="25">
        <v>7585.19</v>
      </c>
      <c r="F841" s="25">
        <v>6105.65</v>
      </c>
      <c r="G841" s="26">
        <f>T_Ventes[[#This Row],[CA HT]]-T_Ventes[[#This Row],[Coût achat HT]]</f>
        <v>1479.54</v>
      </c>
      <c r="H841" s="27">
        <f>DATE(YEAR(T_Ventes[[#This Row],[Date facture]]),MONTH(T_Ventes[[#This Row],[Date facture]]),1)</f>
        <v>46204</v>
      </c>
      <c r="I841" s="28">
        <f>YEAR(T_Ventes[[#This Row],[Date facture]])</f>
        <v>2026</v>
      </c>
    </row>
    <row r="842" spans="1:9" x14ac:dyDescent="0.3">
      <c r="A842" s="23">
        <v>46219</v>
      </c>
      <c r="B842" s="24" t="s">
        <v>937</v>
      </c>
      <c r="C842" s="24" t="s">
        <v>56</v>
      </c>
      <c r="D842" s="24" t="s">
        <v>64</v>
      </c>
      <c r="E842" s="25">
        <v>5023.1499999999996</v>
      </c>
      <c r="F842" s="25">
        <v>4023</v>
      </c>
      <c r="G842" s="26">
        <f>T_Ventes[[#This Row],[CA HT]]-T_Ventes[[#This Row],[Coût achat HT]]</f>
        <v>1000.1499999999996</v>
      </c>
      <c r="H842" s="27">
        <f>DATE(YEAR(T_Ventes[[#This Row],[Date facture]]),MONTH(T_Ventes[[#This Row],[Date facture]]),1)</f>
        <v>46204</v>
      </c>
      <c r="I842" s="28">
        <f>YEAR(T_Ventes[[#This Row],[Date facture]])</f>
        <v>2026</v>
      </c>
    </row>
    <row r="843" spans="1:9" x14ac:dyDescent="0.3">
      <c r="A843" s="23">
        <v>46220</v>
      </c>
      <c r="B843" s="24" t="s">
        <v>938</v>
      </c>
      <c r="C843" s="24" t="s">
        <v>56</v>
      </c>
      <c r="D843" s="24" t="s">
        <v>64</v>
      </c>
      <c r="E843" s="25">
        <v>2081.8000000000002</v>
      </c>
      <c r="F843" s="25">
        <v>1685.95</v>
      </c>
      <c r="G843" s="26">
        <f>T_Ventes[[#This Row],[CA HT]]-T_Ventes[[#This Row],[Coût achat HT]]</f>
        <v>395.85000000000014</v>
      </c>
      <c r="H843" s="27">
        <f>DATE(YEAR(T_Ventes[[#This Row],[Date facture]]),MONTH(T_Ventes[[#This Row],[Date facture]]),1)</f>
        <v>46204</v>
      </c>
      <c r="I843" s="28">
        <f>YEAR(T_Ventes[[#This Row],[Date facture]])</f>
        <v>2026</v>
      </c>
    </row>
    <row r="844" spans="1:9" x14ac:dyDescent="0.3">
      <c r="A844" s="23">
        <v>46220</v>
      </c>
      <c r="B844" s="24" t="s">
        <v>939</v>
      </c>
      <c r="C844" s="24" t="s">
        <v>152</v>
      </c>
      <c r="D844" s="24" t="s">
        <v>71</v>
      </c>
      <c r="E844" s="25">
        <v>1778.88</v>
      </c>
      <c r="F844" s="25">
        <v>1058.76</v>
      </c>
      <c r="G844" s="26">
        <f>T_Ventes[[#This Row],[CA HT]]-T_Ventes[[#This Row],[Coût achat HT]]</f>
        <v>720.12000000000012</v>
      </c>
      <c r="H844" s="27">
        <f>DATE(YEAR(T_Ventes[[#This Row],[Date facture]]),MONTH(T_Ventes[[#This Row],[Date facture]]),1)</f>
        <v>46204</v>
      </c>
      <c r="I844" s="28">
        <f>YEAR(T_Ventes[[#This Row],[Date facture]])</f>
        <v>2026</v>
      </c>
    </row>
    <row r="845" spans="1:9" x14ac:dyDescent="0.3">
      <c r="A845" s="23">
        <v>46221</v>
      </c>
      <c r="B845" s="24" t="s">
        <v>940</v>
      </c>
      <c r="C845" s="24" t="s">
        <v>87</v>
      </c>
      <c r="D845" s="24" t="s">
        <v>64</v>
      </c>
      <c r="E845" s="25">
        <v>5819.41</v>
      </c>
      <c r="F845" s="25">
        <v>4763.3999999999996</v>
      </c>
      <c r="G845" s="26">
        <f>T_Ventes[[#This Row],[CA HT]]-T_Ventes[[#This Row],[Coût achat HT]]</f>
        <v>1056.0100000000002</v>
      </c>
      <c r="H845" s="27">
        <f>DATE(YEAR(T_Ventes[[#This Row],[Date facture]]),MONTH(T_Ventes[[#This Row],[Date facture]]),1)</f>
        <v>46204</v>
      </c>
      <c r="I845" s="28">
        <f>YEAR(T_Ventes[[#This Row],[Date facture]])</f>
        <v>2026</v>
      </c>
    </row>
    <row r="846" spans="1:9" x14ac:dyDescent="0.3">
      <c r="A846" s="23">
        <v>46221</v>
      </c>
      <c r="B846" s="24" t="s">
        <v>941</v>
      </c>
      <c r="C846" s="24" t="s">
        <v>78</v>
      </c>
      <c r="D846" s="24" t="s">
        <v>59</v>
      </c>
      <c r="E846" s="25">
        <v>5716.14</v>
      </c>
      <c r="F846" s="25">
        <v>2021.53</v>
      </c>
      <c r="G846" s="26">
        <f>T_Ventes[[#This Row],[CA HT]]-T_Ventes[[#This Row],[Coût achat HT]]</f>
        <v>3694.6100000000006</v>
      </c>
      <c r="H846" s="27">
        <f>DATE(YEAR(T_Ventes[[#This Row],[Date facture]]),MONTH(T_Ventes[[#This Row],[Date facture]]),1)</f>
        <v>46204</v>
      </c>
      <c r="I846" s="28">
        <f>YEAR(T_Ventes[[#This Row],[Date facture]])</f>
        <v>2026</v>
      </c>
    </row>
    <row r="847" spans="1:9" x14ac:dyDescent="0.3">
      <c r="A847" s="23">
        <v>46221</v>
      </c>
      <c r="B847" s="24" t="s">
        <v>942</v>
      </c>
      <c r="C847" s="24" t="s">
        <v>115</v>
      </c>
      <c r="D847" s="24" t="s">
        <v>59</v>
      </c>
      <c r="E847" s="25">
        <v>5614.31</v>
      </c>
      <c r="F847" s="25">
        <v>2073.0700000000002</v>
      </c>
      <c r="G847" s="26">
        <f>T_Ventes[[#This Row],[CA HT]]-T_Ventes[[#This Row],[Coût achat HT]]</f>
        <v>3541.2400000000002</v>
      </c>
      <c r="H847" s="27">
        <f>DATE(YEAR(T_Ventes[[#This Row],[Date facture]]),MONTH(T_Ventes[[#This Row],[Date facture]]),1)</f>
        <v>46204</v>
      </c>
      <c r="I847" s="28">
        <f>YEAR(T_Ventes[[#This Row],[Date facture]])</f>
        <v>2026</v>
      </c>
    </row>
    <row r="848" spans="1:9" x14ac:dyDescent="0.3">
      <c r="A848" s="23">
        <v>46222</v>
      </c>
      <c r="B848" s="24" t="s">
        <v>943</v>
      </c>
      <c r="C848" s="24" t="s">
        <v>162</v>
      </c>
      <c r="D848" s="24" t="s">
        <v>71</v>
      </c>
      <c r="E848" s="25">
        <v>2602.54</v>
      </c>
      <c r="F848" s="25">
        <v>1535.23</v>
      </c>
      <c r="G848" s="26">
        <f>T_Ventes[[#This Row],[CA HT]]-T_Ventes[[#This Row],[Coût achat HT]]</f>
        <v>1067.31</v>
      </c>
      <c r="H848" s="27">
        <f>DATE(YEAR(T_Ventes[[#This Row],[Date facture]]),MONTH(T_Ventes[[#This Row],[Date facture]]),1)</f>
        <v>46204</v>
      </c>
      <c r="I848" s="28">
        <f>YEAR(T_Ventes[[#This Row],[Date facture]])</f>
        <v>2026</v>
      </c>
    </row>
    <row r="849" spans="1:9" x14ac:dyDescent="0.3">
      <c r="A849" s="23">
        <v>46223</v>
      </c>
      <c r="B849" s="24" t="s">
        <v>944</v>
      </c>
      <c r="C849" s="24" t="s">
        <v>76</v>
      </c>
      <c r="D849" s="24" t="s">
        <v>71</v>
      </c>
      <c r="E849" s="25">
        <v>4879.71</v>
      </c>
      <c r="F849" s="25">
        <v>2842.93</v>
      </c>
      <c r="G849" s="26">
        <f>T_Ventes[[#This Row],[CA HT]]-T_Ventes[[#This Row],[Coût achat HT]]</f>
        <v>2036.7800000000002</v>
      </c>
      <c r="H849" s="27">
        <f>DATE(YEAR(T_Ventes[[#This Row],[Date facture]]),MONTH(T_Ventes[[#This Row],[Date facture]]),1)</f>
        <v>46204</v>
      </c>
      <c r="I849" s="28">
        <f>YEAR(T_Ventes[[#This Row],[Date facture]])</f>
        <v>2026</v>
      </c>
    </row>
    <row r="850" spans="1:9" x14ac:dyDescent="0.3">
      <c r="A850" s="23">
        <v>46226</v>
      </c>
      <c r="B850" s="24" t="s">
        <v>945</v>
      </c>
      <c r="C850" s="24" t="s">
        <v>115</v>
      </c>
      <c r="D850" s="24" t="s">
        <v>64</v>
      </c>
      <c r="E850" s="25">
        <v>3887.22</v>
      </c>
      <c r="F850" s="25">
        <v>3184.75</v>
      </c>
      <c r="G850" s="26">
        <f>T_Ventes[[#This Row],[CA HT]]-T_Ventes[[#This Row],[Coût achat HT]]</f>
        <v>702.4699999999998</v>
      </c>
      <c r="H850" s="27">
        <f>DATE(YEAR(T_Ventes[[#This Row],[Date facture]]),MONTH(T_Ventes[[#This Row],[Date facture]]),1)</f>
        <v>46204</v>
      </c>
      <c r="I850" s="28">
        <f>YEAR(T_Ventes[[#This Row],[Date facture]])</f>
        <v>2026</v>
      </c>
    </row>
    <row r="851" spans="1:9" x14ac:dyDescent="0.3">
      <c r="A851" s="23">
        <v>46226</v>
      </c>
      <c r="B851" s="24" t="s">
        <v>946</v>
      </c>
      <c r="C851" s="24" t="s">
        <v>173</v>
      </c>
      <c r="D851" s="24" t="s">
        <v>71</v>
      </c>
      <c r="E851" s="25">
        <v>4584.7299999999996</v>
      </c>
      <c r="F851" s="25">
        <v>2612.84</v>
      </c>
      <c r="G851" s="26">
        <f>T_Ventes[[#This Row],[CA HT]]-T_Ventes[[#This Row],[Coût achat HT]]</f>
        <v>1971.8899999999994</v>
      </c>
      <c r="H851" s="27">
        <f>DATE(YEAR(T_Ventes[[#This Row],[Date facture]]),MONTH(T_Ventes[[#This Row],[Date facture]]),1)</f>
        <v>46204</v>
      </c>
      <c r="I851" s="28">
        <f>YEAR(T_Ventes[[#This Row],[Date facture]])</f>
        <v>2026</v>
      </c>
    </row>
    <row r="852" spans="1:9" x14ac:dyDescent="0.3">
      <c r="A852" s="23">
        <v>46227</v>
      </c>
      <c r="B852" s="24" t="s">
        <v>947</v>
      </c>
      <c r="C852" s="24" t="s">
        <v>208</v>
      </c>
      <c r="D852" s="24" t="s">
        <v>64</v>
      </c>
      <c r="E852" s="25">
        <v>4287.4799999999996</v>
      </c>
      <c r="F852" s="25">
        <v>3455.97</v>
      </c>
      <c r="G852" s="26">
        <f>T_Ventes[[#This Row],[CA HT]]-T_Ventes[[#This Row],[Coût achat HT]]</f>
        <v>831.50999999999976</v>
      </c>
      <c r="H852" s="27">
        <f>DATE(YEAR(T_Ventes[[#This Row],[Date facture]]),MONTH(T_Ventes[[#This Row],[Date facture]]),1)</f>
        <v>46204</v>
      </c>
      <c r="I852" s="28">
        <f>YEAR(T_Ventes[[#This Row],[Date facture]])</f>
        <v>2026</v>
      </c>
    </row>
    <row r="853" spans="1:9" x14ac:dyDescent="0.3">
      <c r="A853" s="23">
        <v>46227</v>
      </c>
      <c r="B853" s="24" t="s">
        <v>948</v>
      </c>
      <c r="C853" s="24" t="s">
        <v>56</v>
      </c>
      <c r="D853" s="24" t="s">
        <v>64</v>
      </c>
      <c r="E853" s="25">
        <v>6062.66</v>
      </c>
      <c r="F853" s="25">
        <v>4964.83</v>
      </c>
      <c r="G853" s="26">
        <f>T_Ventes[[#This Row],[CA HT]]-T_Ventes[[#This Row],[Coût achat HT]]</f>
        <v>1097.83</v>
      </c>
      <c r="H853" s="27">
        <f>DATE(YEAR(T_Ventes[[#This Row],[Date facture]]),MONTH(T_Ventes[[#This Row],[Date facture]]),1)</f>
        <v>46204</v>
      </c>
      <c r="I853" s="28">
        <f>YEAR(T_Ventes[[#This Row],[Date facture]])</f>
        <v>2026</v>
      </c>
    </row>
    <row r="854" spans="1:9" x14ac:dyDescent="0.3">
      <c r="A854" s="23">
        <v>46227</v>
      </c>
      <c r="B854" s="24" t="s">
        <v>949</v>
      </c>
      <c r="C854" s="24" t="s">
        <v>84</v>
      </c>
      <c r="D854" s="24" t="s">
        <v>57</v>
      </c>
      <c r="E854" s="25">
        <v>1266.02</v>
      </c>
      <c r="F854" s="25">
        <v>845.43</v>
      </c>
      <c r="G854" s="26">
        <f>T_Ventes[[#This Row],[CA HT]]-T_Ventes[[#This Row],[Coût achat HT]]</f>
        <v>420.59000000000003</v>
      </c>
      <c r="H854" s="27">
        <f>DATE(YEAR(T_Ventes[[#This Row],[Date facture]]),MONTH(T_Ventes[[#This Row],[Date facture]]),1)</f>
        <v>46204</v>
      </c>
      <c r="I854" s="28">
        <f>YEAR(T_Ventes[[#This Row],[Date facture]])</f>
        <v>2026</v>
      </c>
    </row>
    <row r="855" spans="1:9" x14ac:dyDescent="0.3">
      <c r="A855" s="23">
        <v>46228</v>
      </c>
      <c r="B855" s="24" t="s">
        <v>950</v>
      </c>
      <c r="C855" s="24" t="s">
        <v>80</v>
      </c>
      <c r="D855" s="24" t="s">
        <v>57</v>
      </c>
      <c r="E855" s="25">
        <v>6103.33</v>
      </c>
      <c r="F855" s="25">
        <v>4023.59</v>
      </c>
      <c r="G855" s="26">
        <f>T_Ventes[[#This Row],[CA HT]]-T_Ventes[[#This Row],[Coût achat HT]]</f>
        <v>2079.7399999999998</v>
      </c>
      <c r="H855" s="27">
        <f>DATE(YEAR(T_Ventes[[#This Row],[Date facture]]),MONTH(T_Ventes[[#This Row],[Date facture]]),1)</f>
        <v>46204</v>
      </c>
      <c r="I855" s="28">
        <f>YEAR(T_Ventes[[#This Row],[Date facture]])</f>
        <v>2026</v>
      </c>
    </row>
    <row r="856" spans="1:9" x14ac:dyDescent="0.3">
      <c r="A856" s="23">
        <v>46228</v>
      </c>
      <c r="B856" s="24" t="s">
        <v>951</v>
      </c>
      <c r="C856" s="24" t="s">
        <v>115</v>
      </c>
      <c r="D856" s="24" t="s">
        <v>57</v>
      </c>
      <c r="E856" s="25">
        <v>4224.03</v>
      </c>
      <c r="F856" s="25">
        <v>2806.62</v>
      </c>
      <c r="G856" s="26">
        <f>T_Ventes[[#This Row],[CA HT]]-T_Ventes[[#This Row],[Coût achat HT]]</f>
        <v>1417.4099999999999</v>
      </c>
      <c r="H856" s="27">
        <f>DATE(YEAR(T_Ventes[[#This Row],[Date facture]]),MONTH(T_Ventes[[#This Row],[Date facture]]),1)</f>
        <v>46204</v>
      </c>
      <c r="I856" s="28">
        <f>YEAR(T_Ventes[[#This Row],[Date facture]])</f>
        <v>2026</v>
      </c>
    </row>
    <row r="857" spans="1:9" x14ac:dyDescent="0.3">
      <c r="A857" s="23">
        <v>46228</v>
      </c>
      <c r="B857" s="24" t="s">
        <v>952</v>
      </c>
      <c r="C857" s="24" t="s">
        <v>80</v>
      </c>
      <c r="D857" s="24" t="s">
        <v>71</v>
      </c>
      <c r="E857" s="25">
        <v>4054.71</v>
      </c>
      <c r="F857" s="25">
        <v>2446.04</v>
      </c>
      <c r="G857" s="26">
        <f>T_Ventes[[#This Row],[CA HT]]-T_Ventes[[#This Row],[Coût achat HT]]</f>
        <v>1608.67</v>
      </c>
      <c r="H857" s="27">
        <f>DATE(YEAR(T_Ventes[[#This Row],[Date facture]]),MONTH(T_Ventes[[#This Row],[Date facture]]),1)</f>
        <v>46204</v>
      </c>
      <c r="I857" s="28">
        <f>YEAR(T_Ventes[[#This Row],[Date facture]])</f>
        <v>2026</v>
      </c>
    </row>
    <row r="858" spans="1:9" x14ac:dyDescent="0.3">
      <c r="A858" s="23">
        <v>46229</v>
      </c>
      <c r="B858" s="24" t="s">
        <v>953</v>
      </c>
      <c r="C858" s="24" t="s">
        <v>63</v>
      </c>
      <c r="D858" s="24" t="s">
        <v>64</v>
      </c>
      <c r="E858" s="25">
        <v>6644.22</v>
      </c>
      <c r="F858" s="25">
        <v>5415.4</v>
      </c>
      <c r="G858" s="26">
        <f>T_Ventes[[#This Row],[CA HT]]-T_Ventes[[#This Row],[Coût achat HT]]</f>
        <v>1228.8200000000006</v>
      </c>
      <c r="H858" s="27">
        <f>DATE(YEAR(T_Ventes[[#This Row],[Date facture]]),MONTH(T_Ventes[[#This Row],[Date facture]]),1)</f>
        <v>46204</v>
      </c>
      <c r="I858" s="28">
        <f>YEAR(T_Ventes[[#This Row],[Date facture]])</f>
        <v>2026</v>
      </c>
    </row>
    <row r="859" spans="1:9" x14ac:dyDescent="0.3">
      <c r="A859" s="23">
        <v>46237</v>
      </c>
      <c r="B859" s="24" t="s">
        <v>954</v>
      </c>
      <c r="C859" s="24" t="s">
        <v>177</v>
      </c>
      <c r="D859" s="24" t="s">
        <v>57</v>
      </c>
      <c r="E859" s="25">
        <v>4835.9799999999996</v>
      </c>
      <c r="F859" s="25">
        <v>3173.42</v>
      </c>
      <c r="G859" s="26">
        <f>T_Ventes[[#This Row],[CA HT]]-T_Ventes[[#This Row],[Coût achat HT]]</f>
        <v>1662.5599999999995</v>
      </c>
      <c r="H859" s="27">
        <f>DATE(YEAR(T_Ventes[[#This Row],[Date facture]]),MONTH(T_Ventes[[#This Row],[Date facture]]),1)</f>
        <v>46235</v>
      </c>
      <c r="I859" s="28">
        <f>YEAR(T_Ventes[[#This Row],[Date facture]])</f>
        <v>2026</v>
      </c>
    </row>
    <row r="860" spans="1:9" x14ac:dyDescent="0.3">
      <c r="A860" s="23">
        <v>46237</v>
      </c>
      <c r="B860" s="24" t="s">
        <v>955</v>
      </c>
      <c r="C860" s="24" t="s">
        <v>90</v>
      </c>
      <c r="D860" s="24" t="s">
        <v>59</v>
      </c>
      <c r="E860" s="25">
        <v>3030.72</v>
      </c>
      <c r="F860" s="25">
        <v>1119.1500000000001</v>
      </c>
      <c r="G860" s="26">
        <f>T_Ventes[[#This Row],[CA HT]]-T_Ventes[[#This Row],[Coût achat HT]]</f>
        <v>1911.5699999999997</v>
      </c>
      <c r="H860" s="27">
        <f>DATE(YEAR(T_Ventes[[#This Row],[Date facture]]),MONTH(T_Ventes[[#This Row],[Date facture]]),1)</f>
        <v>46235</v>
      </c>
      <c r="I860" s="28">
        <f>YEAR(T_Ventes[[#This Row],[Date facture]])</f>
        <v>2026</v>
      </c>
    </row>
    <row r="861" spans="1:9" x14ac:dyDescent="0.3">
      <c r="A861" s="23">
        <v>46238</v>
      </c>
      <c r="B861" s="24" t="s">
        <v>956</v>
      </c>
      <c r="C861" s="24" t="s">
        <v>115</v>
      </c>
      <c r="D861" s="24" t="s">
        <v>71</v>
      </c>
      <c r="E861" s="25">
        <v>6246.54</v>
      </c>
      <c r="F861" s="25">
        <v>3650.59</v>
      </c>
      <c r="G861" s="26">
        <f>T_Ventes[[#This Row],[CA HT]]-T_Ventes[[#This Row],[Coût achat HT]]</f>
        <v>2595.9499999999998</v>
      </c>
      <c r="H861" s="27">
        <f>DATE(YEAR(T_Ventes[[#This Row],[Date facture]]),MONTH(T_Ventes[[#This Row],[Date facture]]),1)</f>
        <v>46235</v>
      </c>
      <c r="I861" s="28">
        <f>YEAR(T_Ventes[[#This Row],[Date facture]])</f>
        <v>2026</v>
      </c>
    </row>
    <row r="862" spans="1:9" x14ac:dyDescent="0.3">
      <c r="A862" s="23">
        <v>46240</v>
      </c>
      <c r="B862" s="24" t="s">
        <v>957</v>
      </c>
      <c r="C862" s="24" t="s">
        <v>410</v>
      </c>
      <c r="D862" s="24" t="s">
        <v>64</v>
      </c>
      <c r="E862" s="25">
        <v>6783.16</v>
      </c>
      <c r="F862" s="25">
        <v>5495.04</v>
      </c>
      <c r="G862" s="26">
        <f>T_Ventes[[#This Row],[CA HT]]-T_Ventes[[#This Row],[Coût achat HT]]</f>
        <v>1288.1199999999999</v>
      </c>
      <c r="H862" s="27">
        <f>DATE(YEAR(T_Ventes[[#This Row],[Date facture]]),MONTH(T_Ventes[[#This Row],[Date facture]]),1)</f>
        <v>46235</v>
      </c>
      <c r="I862" s="28">
        <f>YEAR(T_Ventes[[#This Row],[Date facture]])</f>
        <v>2026</v>
      </c>
    </row>
    <row r="863" spans="1:9" x14ac:dyDescent="0.3">
      <c r="A863" s="23">
        <v>46244</v>
      </c>
      <c r="B863" s="24" t="s">
        <v>958</v>
      </c>
      <c r="C863" s="24" t="s">
        <v>56</v>
      </c>
      <c r="D863" s="24" t="s">
        <v>59</v>
      </c>
      <c r="E863" s="25">
        <v>8273.2999999999993</v>
      </c>
      <c r="F863" s="25">
        <v>3234.94</v>
      </c>
      <c r="G863" s="26">
        <f>T_Ventes[[#This Row],[CA HT]]-T_Ventes[[#This Row],[Coût achat HT]]</f>
        <v>5038.3599999999988</v>
      </c>
      <c r="H863" s="27">
        <f>DATE(YEAR(T_Ventes[[#This Row],[Date facture]]),MONTH(T_Ventes[[#This Row],[Date facture]]),1)</f>
        <v>46235</v>
      </c>
      <c r="I863" s="28">
        <f>YEAR(T_Ventes[[#This Row],[Date facture]])</f>
        <v>2026</v>
      </c>
    </row>
    <row r="864" spans="1:9" x14ac:dyDescent="0.3">
      <c r="A864" s="23">
        <v>46245</v>
      </c>
      <c r="B864" s="24" t="s">
        <v>959</v>
      </c>
      <c r="C864" s="24" t="s">
        <v>115</v>
      </c>
      <c r="D864" s="24" t="s">
        <v>57</v>
      </c>
      <c r="E864" s="25">
        <v>3676.76</v>
      </c>
      <c r="F864" s="25">
        <v>2486.6999999999998</v>
      </c>
      <c r="G864" s="26">
        <f>T_Ventes[[#This Row],[CA HT]]-T_Ventes[[#This Row],[Coût achat HT]]</f>
        <v>1190.0600000000004</v>
      </c>
      <c r="H864" s="27">
        <f>DATE(YEAR(T_Ventes[[#This Row],[Date facture]]),MONTH(T_Ventes[[#This Row],[Date facture]]),1)</f>
        <v>46235</v>
      </c>
      <c r="I864" s="28">
        <f>YEAR(T_Ventes[[#This Row],[Date facture]])</f>
        <v>2026</v>
      </c>
    </row>
    <row r="865" spans="1:9" x14ac:dyDescent="0.3">
      <c r="A865" s="23">
        <v>46245</v>
      </c>
      <c r="B865" s="24" t="s">
        <v>960</v>
      </c>
      <c r="C865" s="24" t="s">
        <v>100</v>
      </c>
      <c r="D865" s="24" t="s">
        <v>57</v>
      </c>
      <c r="E865" s="25">
        <v>5081.1000000000004</v>
      </c>
      <c r="F865" s="25">
        <v>3354.23</v>
      </c>
      <c r="G865" s="26">
        <f>T_Ventes[[#This Row],[CA HT]]-T_Ventes[[#This Row],[Coût achat HT]]</f>
        <v>1726.8700000000003</v>
      </c>
      <c r="H865" s="27">
        <f>DATE(YEAR(T_Ventes[[#This Row],[Date facture]]),MONTH(T_Ventes[[#This Row],[Date facture]]),1)</f>
        <v>46235</v>
      </c>
      <c r="I865" s="28">
        <f>YEAR(T_Ventes[[#This Row],[Date facture]])</f>
        <v>2026</v>
      </c>
    </row>
    <row r="866" spans="1:9" x14ac:dyDescent="0.3">
      <c r="A866" s="23">
        <v>46248</v>
      </c>
      <c r="B866" s="24" t="s">
        <v>961</v>
      </c>
      <c r="C866" s="24" t="s">
        <v>68</v>
      </c>
      <c r="D866" s="24" t="s">
        <v>64</v>
      </c>
      <c r="E866" s="25">
        <v>5882.75</v>
      </c>
      <c r="F866" s="25">
        <v>4795.45</v>
      </c>
      <c r="G866" s="26">
        <f>T_Ventes[[#This Row],[CA HT]]-T_Ventes[[#This Row],[Coût achat HT]]</f>
        <v>1087.3000000000002</v>
      </c>
      <c r="H866" s="27">
        <f>DATE(YEAR(T_Ventes[[#This Row],[Date facture]]),MONTH(T_Ventes[[#This Row],[Date facture]]),1)</f>
        <v>46235</v>
      </c>
      <c r="I866" s="28">
        <f>YEAR(T_Ventes[[#This Row],[Date facture]])</f>
        <v>2026</v>
      </c>
    </row>
    <row r="867" spans="1:9" x14ac:dyDescent="0.3">
      <c r="A867" s="23">
        <v>46248</v>
      </c>
      <c r="B867" s="24" t="s">
        <v>962</v>
      </c>
      <c r="C867" s="24" t="s">
        <v>108</v>
      </c>
      <c r="D867" s="24" t="s">
        <v>57</v>
      </c>
      <c r="E867" s="25">
        <v>4774.26</v>
      </c>
      <c r="F867" s="25">
        <v>3193.98</v>
      </c>
      <c r="G867" s="26">
        <f>T_Ventes[[#This Row],[CA HT]]-T_Ventes[[#This Row],[Coût achat HT]]</f>
        <v>1580.2800000000002</v>
      </c>
      <c r="H867" s="27">
        <f>DATE(YEAR(T_Ventes[[#This Row],[Date facture]]),MONTH(T_Ventes[[#This Row],[Date facture]]),1)</f>
        <v>46235</v>
      </c>
      <c r="I867" s="28">
        <f>YEAR(T_Ventes[[#This Row],[Date facture]])</f>
        <v>2026</v>
      </c>
    </row>
    <row r="868" spans="1:9" x14ac:dyDescent="0.3">
      <c r="A868" s="23">
        <v>46248</v>
      </c>
      <c r="B868" s="24" t="s">
        <v>963</v>
      </c>
      <c r="C868" s="24" t="s">
        <v>162</v>
      </c>
      <c r="D868" s="24" t="s">
        <v>71</v>
      </c>
      <c r="E868" s="25">
        <v>1795.68</v>
      </c>
      <c r="F868" s="25">
        <v>1055.81</v>
      </c>
      <c r="G868" s="26">
        <f>T_Ventes[[#This Row],[CA HT]]-T_Ventes[[#This Row],[Coût achat HT]]</f>
        <v>739.87000000000012</v>
      </c>
      <c r="H868" s="27">
        <f>DATE(YEAR(T_Ventes[[#This Row],[Date facture]]),MONTH(T_Ventes[[#This Row],[Date facture]]),1)</f>
        <v>46235</v>
      </c>
      <c r="I868" s="28">
        <f>YEAR(T_Ventes[[#This Row],[Date facture]])</f>
        <v>2026</v>
      </c>
    </row>
    <row r="869" spans="1:9" x14ac:dyDescent="0.3">
      <c r="A869" s="23">
        <v>46249</v>
      </c>
      <c r="B869" s="24" t="s">
        <v>964</v>
      </c>
      <c r="C869" s="24" t="s">
        <v>115</v>
      </c>
      <c r="D869" s="24" t="s">
        <v>64</v>
      </c>
      <c r="E869" s="25">
        <v>3515.38</v>
      </c>
      <c r="F869" s="25">
        <v>2826.77</v>
      </c>
      <c r="G869" s="26">
        <f>T_Ventes[[#This Row],[CA HT]]-T_Ventes[[#This Row],[Coût achat HT]]</f>
        <v>688.61000000000013</v>
      </c>
      <c r="H869" s="27">
        <f>DATE(YEAR(T_Ventes[[#This Row],[Date facture]]),MONTH(T_Ventes[[#This Row],[Date facture]]),1)</f>
        <v>46235</v>
      </c>
      <c r="I869" s="28">
        <f>YEAR(T_Ventes[[#This Row],[Date facture]])</f>
        <v>2026</v>
      </c>
    </row>
    <row r="870" spans="1:9" x14ac:dyDescent="0.3">
      <c r="A870" s="23">
        <v>46250</v>
      </c>
      <c r="B870" s="24" t="s">
        <v>965</v>
      </c>
      <c r="C870" s="24" t="s">
        <v>56</v>
      </c>
      <c r="D870" s="24" t="s">
        <v>57</v>
      </c>
      <c r="E870" s="25">
        <v>1854.34</v>
      </c>
      <c r="F870" s="25">
        <v>1224.53</v>
      </c>
      <c r="G870" s="26">
        <f>T_Ventes[[#This Row],[CA HT]]-T_Ventes[[#This Row],[Coût achat HT]]</f>
        <v>629.80999999999995</v>
      </c>
      <c r="H870" s="27">
        <f>DATE(YEAR(T_Ventes[[#This Row],[Date facture]]),MONTH(T_Ventes[[#This Row],[Date facture]]),1)</f>
        <v>46235</v>
      </c>
      <c r="I870" s="28">
        <f>YEAR(T_Ventes[[#This Row],[Date facture]])</f>
        <v>2026</v>
      </c>
    </row>
    <row r="871" spans="1:9" x14ac:dyDescent="0.3">
      <c r="A871" s="23">
        <v>46250</v>
      </c>
      <c r="B871" s="24" t="s">
        <v>966</v>
      </c>
      <c r="C871" s="24" t="s">
        <v>139</v>
      </c>
      <c r="D871" s="24" t="s">
        <v>71</v>
      </c>
      <c r="E871" s="25">
        <v>2128.75</v>
      </c>
      <c r="F871" s="25">
        <v>1233.3900000000001</v>
      </c>
      <c r="G871" s="26">
        <f>T_Ventes[[#This Row],[CA HT]]-T_Ventes[[#This Row],[Coût achat HT]]</f>
        <v>895.3599999999999</v>
      </c>
      <c r="H871" s="27">
        <f>DATE(YEAR(T_Ventes[[#This Row],[Date facture]]),MONTH(T_Ventes[[#This Row],[Date facture]]),1)</f>
        <v>46235</v>
      </c>
      <c r="I871" s="28">
        <f>YEAR(T_Ventes[[#This Row],[Date facture]])</f>
        <v>2026</v>
      </c>
    </row>
    <row r="872" spans="1:9" x14ac:dyDescent="0.3">
      <c r="A872" s="23">
        <v>46250</v>
      </c>
      <c r="B872" s="24" t="s">
        <v>967</v>
      </c>
      <c r="C872" s="24" t="s">
        <v>244</v>
      </c>
      <c r="D872" s="24" t="s">
        <v>71</v>
      </c>
      <c r="E872" s="25">
        <v>1956.31</v>
      </c>
      <c r="F872" s="25">
        <v>1173.2</v>
      </c>
      <c r="G872" s="26">
        <f>T_Ventes[[#This Row],[CA HT]]-T_Ventes[[#This Row],[Coût achat HT]]</f>
        <v>783.1099999999999</v>
      </c>
      <c r="H872" s="27">
        <f>DATE(YEAR(T_Ventes[[#This Row],[Date facture]]),MONTH(T_Ventes[[#This Row],[Date facture]]),1)</f>
        <v>46235</v>
      </c>
      <c r="I872" s="28">
        <f>YEAR(T_Ventes[[#This Row],[Date facture]])</f>
        <v>2026</v>
      </c>
    </row>
    <row r="873" spans="1:9" x14ac:dyDescent="0.3">
      <c r="A873" s="23">
        <v>46251</v>
      </c>
      <c r="B873" s="24" t="s">
        <v>968</v>
      </c>
      <c r="C873" s="24" t="s">
        <v>66</v>
      </c>
      <c r="D873" s="24" t="s">
        <v>64</v>
      </c>
      <c r="E873" s="25">
        <v>2507.5</v>
      </c>
      <c r="F873" s="25">
        <v>2050.84</v>
      </c>
      <c r="G873" s="26">
        <f>T_Ventes[[#This Row],[CA HT]]-T_Ventes[[#This Row],[Coût achat HT]]</f>
        <v>456.65999999999985</v>
      </c>
      <c r="H873" s="27">
        <f>DATE(YEAR(T_Ventes[[#This Row],[Date facture]]),MONTH(T_Ventes[[#This Row],[Date facture]]),1)</f>
        <v>46235</v>
      </c>
      <c r="I873" s="28">
        <f>YEAR(T_Ventes[[#This Row],[Date facture]])</f>
        <v>2026</v>
      </c>
    </row>
    <row r="874" spans="1:9" x14ac:dyDescent="0.3">
      <c r="A874" s="23">
        <v>46254</v>
      </c>
      <c r="B874" s="24" t="s">
        <v>969</v>
      </c>
      <c r="C874" s="24" t="s">
        <v>56</v>
      </c>
      <c r="D874" s="24" t="s">
        <v>71</v>
      </c>
      <c r="E874" s="25">
        <v>5761.02</v>
      </c>
      <c r="F874" s="25">
        <v>3346.62</v>
      </c>
      <c r="G874" s="26">
        <f>T_Ventes[[#This Row],[CA HT]]-T_Ventes[[#This Row],[Coût achat HT]]</f>
        <v>2414.4000000000005</v>
      </c>
      <c r="H874" s="27">
        <f>DATE(YEAR(T_Ventes[[#This Row],[Date facture]]),MONTH(T_Ventes[[#This Row],[Date facture]]),1)</f>
        <v>46235</v>
      </c>
      <c r="I874" s="28">
        <f>YEAR(T_Ventes[[#This Row],[Date facture]])</f>
        <v>2026</v>
      </c>
    </row>
    <row r="875" spans="1:9" x14ac:dyDescent="0.3">
      <c r="A875" s="23">
        <v>46255</v>
      </c>
      <c r="B875" s="24" t="s">
        <v>970</v>
      </c>
      <c r="C875" s="24" t="s">
        <v>94</v>
      </c>
      <c r="D875" s="24" t="s">
        <v>64</v>
      </c>
      <c r="E875" s="25">
        <v>9515.06</v>
      </c>
      <c r="F875" s="25">
        <v>7776.67</v>
      </c>
      <c r="G875" s="26">
        <f>T_Ventes[[#This Row],[CA HT]]-T_Ventes[[#This Row],[Coût achat HT]]</f>
        <v>1738.3899999999994</v>
      </c>
      <c r="H875" s="27">
        <f>DATE(YEAR(T_Ventes[[#This Row],[Date facture]]),MONTH(T_Ventes[[#This Row],[Date facture]]),1)</f>
        <v>46235</v>
      </c>
      <c r="I875" s="28">
        <f>YEAR(T_Ventes[[#This Row],[Date facture]])</f>
        <v>2026</v>
      </c>
    </row>
    <row r="876" spans="1:9" x14ac:dyDescent="0.3">
      <c r="A876" s="23">
        <v>46255</v>
      </c>
      <c r="B876" s="24" t="s">
        <v>971</v>
      </c>
      <c r="C876" s="24" t="s">
        <v>108</v>
      </c>
      <c r="D876" s="24" t="s">
        <v>71</v>
      </c>
      <c r="E876" s="25">
        <v>4419.82</v>
      </c>
      <c r="F876" s="25">
        <v>2679.49</v>
      </c>
      <c r="G876" s="26">
        <f>T_Ventes[[#This Row],[CA HT]]-T_Ventes[[#This Row],[Coût achat HT]]</f>
        <v>1740.33</v>
      </c>
      <c r="H876" s="27">
        <f>DATE(YEAR(T_Ventes[[#This Row],[Date facture]]),MONTH(T_Ventes[[#This Row],[Date facture]]),1)</f>
        <v>46235</v>
      </c>
      <c r="I876" s="28">
        <f>YEAR(T_Ventes[[#This Row],[Date facture]])</f>
        <v>2026</v>
      </c>
    </row>
    <row r="877" spans="1:9" x14ac:dyDescent="0.3">
      <c r="A877" s="23">
        <v>46256</v>
      </c>
      <c r="B877" s="24" t="s">
        <v>972</v>
      </c>
      <c r="C877" s="24" t="s">
        <v>80</v>
      </c>
      <c r="D877" s="24" t="s">
        <v>64</v>
      </c>
      <c r="E877" s="25">
        <v>2923.6</v>
      </c>
      <c r="F877" s="25">
        <v>2353.56</v>
      </c>
      <c r="G877" s="26">
        <f>T_Ventes[[#This Row],[CA HT]]-T_Ventes[[#This Row],[Coût achat HT]]</f>
        <v>570.04</v>
      </c>
      <c r="H877" s="27">
        <f>DATE(YEAR(T_Ventes[[#This Row],[Date facture]]),MONTH(T_Ventes[[#This Row],[Date facture]]),1)</f>
        <v>46235</v>
      </c>
      <c r="I877" s="28">
        <f>YEAR(T_Ventes[[#This Row],[Date facture]])</f>
        <v>2026</v>
      </c>
    </row>
    <row r="878" spans="1:9" x14ac:dyDescent="0.3">
      <c r="A878" s="23">
        <v>46256</v>
      </c>
      <c r="B878" s="24" t="s">
        <v>973</v>
      </c>
      <c r="C878" s="24" t="s">
        <v>80</v>
      </c>
      <c r="D878" s="24" t="s">
        <v>59</v>
      </c>
      <c r="E878" s="25">
        <v>1506.58</v>
      </c>
      <c r="F878" s="25">
        <v>599.04999999999995</v>
      </c>
      <c r="G878" s="26">
        <f>T_Ventes[[#This Row],[CA HT]]-T_Ventes[[#This Row],[Coût achat HT]]</f>
        <v>907.53</v>
      </c>
      <c r="H878" s="27">
        <f>DATE(YEAR(T_Ventes[[#This Row],[Date facture]]),MONTH(T_Ventes[[#This Row],[Date facture]]),1)</f>
        <v>46235</v>
      </c>
      <c r="I878" s="28">
        <f>YEAR(T_Ventes[[#This Row],[Date facture]])</f>
        <v>2026</v>
      </c>
    </row>
    <row r="879" spans="1:9" x14ac:dyDescent="0.3">
      <c r="A879" s="23">
        <v>46257</v>
      </c>
      <c r="B879" s="24" t="s">
        <v>974</v>
      </c>
      <c r="C879" s="24" t="s">
        <v>162</v>
      </c>
      <c r="D879" s="24" t="s">
        <v>64</v>
      </c>
      <c r="E879" s="25">
        <v>5232.07</v>
      </c>
      <c r="F879" s="25">
        <v>4284.53</v>
      </c>
      <c r="G879" s="26">
        <f>T_Ventes[[#This Row],[CA HT]]-T_Ventes[[#This Row],[Coût achat HT]]</f>
        <v>947.54</v>
      </c>
      <c r="H879" s="27">
        <f>DATE(YEAR(T_Ventes[[#This Row],[Date facture]]),MONTH(T_Ventes[[#This Row],[Date facture]]),1)</f>
        <v>46235</v>
      </c>
      <c r="I879" s="28">
        <f>YEAR(T_Ventes[[#This Row],[Date facture]])</f>
        <v>2026</v>
      </c>
    </row>
    <row r="880" spans="1:9" x14ac:dyDescent="0.3">
      <c r="A880" s="23">
        <v>46258</v>
      </c>
      <c r="B880" s="24" t="s">
        <v>975</v>
      </c>
      <c r="C880" s="24" t="s">
        <v>123</v>
      </c>
      <c r="D880" s="24" t="s">
        <v>64</v>
      </c>
      <c r="E880" s="25">
        <v>2074.14</v>
      </c>
      <c r="F880" s="25">
        <v>1692.91</v>
      </c>
      <c r="G880" s="26">
        <f>T_Ventes[[#This Row],[CA HT]]-T_Ventes[[#This Row],[Coût achat HT]]</f>
        <v>381.22999999999979</v>
      </c>
      <c r="H880" s="27">
        <f>DATE(YEAR(T_Ventes[[#This Row],[Date facture]]),MONTH(T_Ventes[[#This Row],[Date facture]]),1)</f>
        <v>46235</v>
      </c>
      <c r="I880" s="28">
        <f>YEAR(T_Ventes[[#This Row],[Date facture]])</f>
        <v>2026</v>
      </c>
    </row>
    <row r="881" spans="1:9" x14ac:dyDescent="0.3">
      <c r="A881" s="23">
        <v>46259</v>
      </c>
      <c r="B881" s="24" t="s">
        <v>976</v>
      </c>
      <c r="C881" s="24" t="s">
        <v>56</v>
      </c>
      <c r="D881" s="24" t="s">
        <v>64</v>
      </c>
      <c r="E881" s="25">
        <v>4830.57</v>
      </c>
      <c r="F881" s="25">
        <v>3889.02</v>
      </c>
      <c r="G881" s="26">
        <f>T_Ventes[[#This Row],[CA HT]]-T_Ventes[[#This Row],[Coût achat HT]]</f>
        <v>941.54999999999973</v>
      </c>
      <c r="H881" s="27">
        <f>DATE(YEAR(T_Ventes[[#This Row],[Date facture]]),MONTH(T_Ventes[[#This Row],[Date facture]]),1)</f>
        <v>46235</v>
      </c>
      <c r="I881" s="28">
        <f>YEAR(T_Ventes[[#This Row],[Date facture]])</f>
        <v>2026</v>
      </c>
    </row>
    <row r="882" spans="1:9" x14ac:dyDescent="0.3">
      <c r="A882" s="23">
        <v>46260</v>
      </c>
      <c r="B882" s="24" t="s">
        <v>977</v>
      </c>
      <c r="C882" s="24" t="s">
        <v>80</v>
      </c>
      <c r="D882" s="24" t="s">
        <v>64</v>
      </c>
      <c r="E882" s="25">
        <v>3184.65</v>
      </c>
      <c r="F882" s="25">
        <v>2552.34</v>
      </c>
      <c r="G882" s="26">
        <f>T_Ventes[[#This Row],[CA HT]]-T_Ventes[[#This Row],[Coût achat HT]]</f>
        <v>632.30999999999995</v>
      </c>
      <c r="H882" s="27">
        <f>DATE(YEAR(T_Ventes[[#This Row],[Date facture]]),MONTH(T_Ventes[[#This Row],[Date facture]]),1)</f>
        <v>46235</v>
      </c>
      <c r="I882" s="28">
        <f>YEAR(T_Ventes[[#This Row],[Date facture]])</f>
        <v>2026</v>
      </c>
    </row>
    <row r="883" spans="1:9" x14ac:dyDescent="0.3">
      <c r="A883" s="23">
        <v>46260</v>
      </c>
      <c r="B883" s="24" t="s">
        <v>978</v>
      </c>
      <c r="C883" s="24" t="s">
        <v>56</v>
      </c>
      <c r="D883" s="24" t="s">
        <v>64</v>
      </c>
      <c r="E883" s="25">
        <v>1756.54</v>
      </c>
      <c r="F883" s="25">
        <v>1438.29</v>
      </c>
      <c r="G883" s="26">
        <f>T_Ventes[[#This Row],[CA HT]]-T_Ventes[[#This Row],[Coût achat HT]]</f>
        <v>318.25</v>
      </c>
      <c r="H883" s="27">
        <f>DATE(YEAR(T_Ventes[[#This Row],[Date facture]]),MONTH(T_Ventes[[#This Row],[Date facture]]),1)</f>
        <v>46235</v>
      </c>
      <c r="I883" s="28">
        <f>YEAR(T_Ventes[[#This Row],[Date facture]])</f>
        <v>2026</v>
      </c>
    </row>
    <row r="884" spans="1:9" x14ac:dyDescent="0.3">
      <c r="A884" s="23">
        <v>46260</v>
      </c>
      <c r="B884" s="24" t="s">
        <v>979</v>
      </c>
      <c r="C884" s="24" t="s">
        <v>66</v>
      </c>
      <c r="D884" s="24" t="s">
        <v>57</v>
      </c>
      <c r="E884" s="25">
        <v>1972.29</v>
      </c>
      <c r="F884" s="25">
        <v>1326.49</v>
      </c>
      <c r="G884" s="26">
        <f>T_Ventes[[#This Row],[CA HT]]-T_Ventes[[#This Row],[Coût achat HT]]</f>
        <v>645.79999999999995</v>
      </c>
      <c r="H884" s="27">
        <f>DATE(YEAR(T_Ventes[[#This Row],[Date facture]]),MONTH(T_Ventes[[#This Row],[Date facture]]),1)</f>
        <v>46235</v>
      </c>
      <c r="I884" s="28">
        <f>YEAR(T_Ventes[[#This Row],[Date facture]])</f>
        <v>2026</v>
      </c>
    </row>
    <row r="885" spans="1:9" x14ac:dyDescent="0.3">
      <c r="A885" s="23">
        <v>46261</v>
      </c>
      <c r="B885" s="24" t="s">
        <v>980</v>
      </c>
      <c r="C885" s="24" t="s">
        <v>90</v>
      </c>
      <c r="D885" s="24" t="s">
        <v>57</v>
      </c>
      <c r="E885" s="25">
        <v>3355.81</v>
      </c>
      <c r="F885" s="25">
        <v>2200.6</v>
      </c>
      <c r="G885" s="26">
        <f>T_Ventes[[#This Row],[CA HT]]-T_Ventes[[#This Row],[Coût achat HT]]</f>
        <v>1155.21</v>
      </c>
      <c r="H885" s="27">
        <f>DATE(YEAR(T_Ventes[[#This Row],[Date facture]]),MONTH(T_Ventes[[#This Row],[Date facture]]),1)</f>
        <v>46235</v>
      </c>
      <c r="I885" s="28">
        <f>YEAR(T_Ventes[[#This Row],[Date facture]])</f>
        <v>2026</v>
      </c>
    </row>
    <row r="886" spans="1:9" x14ac:dyDescent="0.3">
      <c r="A886" s="23">
        <v>46261</v>
      </c>
      <c r="B886" s="24" t="s">
        <v>981</v>
      </c>
      <c r="C886" s="24" t="s">
        <v>177</v>
      </c>
      <c r="D886" s="24" t="s">
        <v>57</v>
      </c>
      <c r="E886" s="25">
        <v>2886.8</v>
      </c>
      <c r="F886" s="25">
        <v>1892.75</v>
      </c>
      <c r="G886" s="26">
        <f>T_Ventes[[#This Row],[CA HT]]-T_Ventes[[#This Row],[Coût achat HT]]</f>
        <v>994.05000000000018</v>
      </c>
      <c r="H886" s="27">
        <f>DATE(YEAR(T_Ventes[[#This Row],[Date facture]]),MONTH(T_Ventes[[#This Row],[Date facture]]),1)</f>
        <v>46235</v>
      </c>
      <c r="I886" s="28">
        <f>YEAR(T_Ventes[[#This Row],[Date facture]])</f>
        <v>2026</v>
      </c>
    </row>
    <row r="887" spans="1:9" x14ac:dyDescent="0.3">
      <c r="A887" s="23">
        <v>46266</v>
      </c>
      <c r="B887" s="24" t="s">
        <v>982</v>
      </c>
      <c r="C887" s="24" t="s">
        <v>78</v>
      </c>
      <c r="D887" s="24" t="s">
        <v>59</v>
      </c>
      <c r="E887" s="25">
        <v>2845.62</v>
      </c>
      <c r="F887" s="25">
        <v>1099.52</v>
      </c>
      <c r="G887" s="26">
        <f>T_Ventes[[#This Row],[CA HT]]-T_Ventes[[#This Row],[Coût achat HT]]</f>
        <v>1746.1</v>
      </c>
      <c r="H887" s="27">
        <f>DATE(YEAR(T_Ventes[[#This Row],[Date facture]]),MONTH(T_Ventes[[#This Row],[Date facture]]),1)</f>
        <v>46266</v>
      </c>
      <c r="I887" s="28">
        <f>YEAR(T_Ventes[[#This Row],[Date facture]])</f>
        <v>2026</v>
      </c>
    </row>
    <row r="888" spans="1:9" x14ac:dyDescent="0.3">
      <c r="A888" s="23">
        <v>46267</v>
      </c>
      <c r="B888" s="24" t="s">
        <v>983</v>
      </c>
      <c r="C888" s="24" t="s">
        <v>292</v>
      </c>
      <c r="D888" s="24" t="s">
        <v>57</v>
      </c>
      <c r="E888" s="25">
        <v>2996.69</v>
      </c>
      <c r="F888" s="25">
        <v>1997.61</v>
      </c>
      <c r="G888" s="26">
        <f>T_Ventes[[#This Row],[CA HT]]-T_Ventes[[#This Row],[Coût achat HT]]</f>
        <v>999.08000000000015</v>
      </c>
      <c r="H888" s="27">
        <f>DATE(YEAR(T_Ventes[[#This Row],[Date facture]]),MONTH(T_Ventes[[#This Row],[Date facture]]),1)</f>
        <v>46266</v>
      </c>
      <c r="I888" s="28">
        <f>YEAR(T_Ventes[[#This Row],[Date facture]])</f>
        <v>2026</v>
      </c>
    </row>
    <row r="889" spans="1:9" x14ac:dyDescent="0.3">
      <c r="A889" s="23">
        <v>46268</v>
      </c>
      <c r="B889" s="24" t="s">
        <v>984</v>
      </c>
      <c r="C889" s="24" t="s">
        <v>76</v>
      </c>
      <c r="D889" s="24" t="s">
        <v>64</v>
      </c>
      <c r="E889" s="25">
        <v>6743.83</v>
      </c>
      <c r="F889" s="25">
        <v>5419.25</v>
      </c>
      <c r="G889" s="26">
        <f>T_Ventes[[#This Row],[CA HT]]-T_Ventes[[#This Row],[Coût achat HT]]</f>
        <v>1324.58</v>
      </c>
      <c r="H889" s="27">
        <f>DATE(YEAR(T_Ventes[[#This Row],[Date facture]]),MONTH(T_Ventes[[#This Row],[Date facture]]),1)</f>
        <v>46266</v>
      </c>
      <c r="I889" s="28">
        <f>YEAR(T_Ventes[[#This Row],[Date facture]])</f>
        <v>2026</v>
      </c>
    </row>
    <row r="890" spans="1:9" x14ac:dyDescent="0.3">
      <c r="A890" s="23">
        <v>46268</v>
      </c>
      <c r="B890" s="24" t="s">
        <v>985</v>
      </c>
      <c r="C890" s="24" t="s">
        <v>92</v>
      </c>
      <c r="D890" s="24" t="s">
        <v>71</v>
      </c>
      <c r="E890" s="25">
        <v>3918.04</v>
      </c>
      <c r="F890" s="25">
        <v>2360.87</v>
      </c>
      <c r="G890" s="26">
        <f>T_Ventes[[#This Row],[CA HT]]-T_Ventes[[#This Row],[Coût achat HT]]</f>
        <v>1557.17</v>
      </c>
      <c r="H890" s="27">
        <f>DATE(YEAR(T_Ventes[[#This Row],[Date facture]]),MONTH(T_Ventes[[#This Row],[Date facture]]),1)</f>
        <v>46266</v>
      </c>
      <c r="I890" s="28">
        <f>YEAR(T_Ventes[[#This Row],[Date facture]])</f>
        <v>2026</v>
      </c>
    </row>
    <row r="891" spans="1:9" x14ac:dyDescent="0.3">
      <c r="A891" s="23">
        <v>46269</v>
      </c>
      <c r="B891" s="24" t="s">
        <v>986</v>
      </c>
      <c r="C891" s="24" t="s">
        <v>103</v>
      </c>
      <c r="D891" s="24" t="s">
        <v>64</v>
      </c>
      <c r="E891" s="25">
        <v>2057.23</v>
      </c>
      <c r="F891" s="25">
        <v>1648.5</v>
      </c>
      <c r="G891" s="26">
        <f>T_Ventes[[#This Row],[CA HT]]-T_Ventes[[#This Row],[Coût achat HT]]</f>
        <v>408.73</v>
      </c>
      <c r="H891" s="27">
        <f>DATE(YEAR(T_Ventes[[#This Row],[Date facture]]),MONTH(T_Ventes[[#This Row],[Date facture]]),1)</f>
        <v>46266</v>
      </c>
      <c r="I891" s="28">
        <f>YEAR(T_Ventes[[#This Row],[Date facture]])</f>
        <v>2026</v>
      </c>
    </row>
    <row r="892" spans="1:9" x14ac:dyDescent="0.3">
      <c r="A892" s="23">
        <v>46269</v>
      </c>
      <c r="B892" s="24" t="s">
        <v>987</v>
      </c>
      <c r="C892" s="24" t="s">
        <v>61</v>
      </c>
      <c r="D892" s="24" t="s">
        <v>71</v>
      </c>
      <c r="E892" s="25">
        <v>5945.16</v>
      </c>
      <c r="F892" s="25">
        <v>3412.14</v>
      </c>
      <c r="G892" s="26">
        <f>T_Ventes[[#This Row],[CA HT]]-T_Ventes[[#This Row],[Coût achat HT]]</f>
        <v>2533.02</v>
      </c>
      <c r="H892" s="27">
        <f>DATE(YEAR(T_Ventes[[#This Row],[Date facture]]),MONTH(T_Ventes[[#This Row],[Date facture]]),1)</f>
        <v>46266</v>
      </c>
      <c r="I892" s="28">
        <f>YEAR(T_Ventes[[#This Row],[Date facture]])</f>
        <v>2026</v>
      </c>
    </row>
    <row r="893" spans="1:9" x14ac:dyDescent="0.3">
      <c r="A893" s="23">
        <v>46270</v>
      </c>
      <c r="B893" s="24" t="s">
        <v>988</v>
      </c>
      <c r="C893" s="24" t="s">
        <v>105</v>
      </c>
      <c r="D893" s="24" t="s">
        <v>64</v>
      </c>
      <c r="E893" s="25">
        <v>4583.87</v>
      </c>
      <c r="F893" s="25">
        <v>3737.96</v>
      </c>
      <c r="G893" s="26">
        <f>T_Ventes[[#This Row],[CA HT]]-T_Ventes[[#This Row],[Coût achat HT]]</f>
        <v>845.90999999999985</v>
      </c>
      <c r="H893" s="27">
        <f>DATE(YEAR(T_Ventes[[#This Row],[Date facture]]),MONTH(T_Ventes[[#This Row],[Date facture]]),1)</f>
        <v>46266</v>
      </c>
      <c r="I893" s="28">
        <f>YEAR(T_Ventes[[#This Row],[Date facture]])</f>
        <v>2026</v>
      </c>
    </row>
    <row r="894" spans="1:9" x14ac:dyDescent="0.3">
      <c r="A894" s="23">
        <v>46271</v>
      </c>
      <c r="B894" s="24" t="s">
        <v>989</v>
      </c>
      <c r="C894" s="24" t="s">
        <v>56</v>
      </c>
      <c r="D894" s="24" t="s">
        <v>64</v>
      </c>
      <c r="E894" s="25">
        <v>4559.3500000000004</v>
      </c>
      <c r="F894" s="25">
        <v>3714.03</v>
      </c>
      <c r="G894" s="26">
        <f>T_Ventes[[#This Row],[CA HT]]-T_Ventes[[#This Row],[Coût achat HT]]</f>
        <v>845.32000000000016</v>
      </c>
      <c r="H894" s="27">
        <f>DATE(YEAR(T_Ventes[[#This Row],[Date facture]]),MONTH(T_Ventes[[#This Row],[Date facture]]),1)</f>
        <v>46266</v>
      </c>
      <c r="I894" s="28">
        <f>YEAR(T_Ventes[[#This Row],[Date facture]])</f>
        <v>2026</v>
      </c>
    </row>
    <row r="895" spans="1:9" x14ac:dyDescent="0.3">
      <c r="A895" s="23">
        <v>46271</v>
      </c>
      <c r="B895" s="24" t="s">
        <v>990</v>
      </c>
      <c r="C895" s="24" t="s">
        <v>292</v>
      </c>
      <c r="D895" s="24" t="s">
        <v>64</v>
      </c>
      <c r="E895" s="25">
        <v>2760.85</v>
      </c>
      <c r="F895" s="25">
        <v>2224.15</v>
      </c>
      <c r="G895" s="26">
        <f>T_Ventes[[#This Row],[CA HT]]-T_Ventes[[#This Row],[Coût achat HT]]</f>
        <v>536.69999999999982</v>
      </c>
      <c r="H895" s="27">
        <f>DATE(YEAR(T_Ventes[[#This Row],[Date facture]]),MONTH(T_Ventes[[#This Row],[Date facture]]),1)</f>
        <v>46266</v>
      </c>
      <c r="I895" s="28">
        <f>YEAR(T_Ventes[[#This Row],[Date facture]])</f>
        <v>2026</v>
      </c>
    </row>
    <row r="896" spans="1:9" x14ac:dyDescent="0.3">
      <c r="A896" s="23">
        <v>46271</v>
      </c>
      <c r="B896" s="24" t="s">
        <v>991</v>
      </c>
      <c r="C896" s="24" t="s">
        <v>56</v>
      </c>
      <c r="D896" s="24" t="s">
        <v>64</v>
      </c>
      <c r="E896" s="25">
        <v>8627.8799999999992</v>
      </c>
      <c r="F896" s="25">
        <v>6911.22</v>
      </c>
      <c r="G896" s="26">
        <f>T_Ventes[[#This Row],[CA HT]]-T_Ventes[[#This Row],[Coût achat HT]]</f>
        <v>1716.6599999999989</v>
      </c>
      <c r="H896" s="27">
        <f>DATE(YEAR(T_Ventes[[#This Row],[Date facture]]),MONTH(T_Ventes[[#This Row],[Date facture]]),1)</f>
        <v>46266</v>
      </c>
      <c r="I896" s="28">
        <f>YEAR(T_Ventes[[#This Row],[Date facture]])</f>
        <v>2026</v>
      </c>
    </row>
    <row r="897" spans="1:9" x14ac:dyDescent="0.3">
      <c r="A897" s="23">
        <v>46271</v>
      </c>
      <c r="B897" s="24" t="s">
        <v>992</v>
      </c>
      <c r="C897" s="24" t="s">
        <v>56</v>
      </c>
      <c r="D897" s="24" t="s">
        <v>57</v>
      </c>
      <c r="E897" s="25">
        <v>2534.69</v>
      </c>
      <c r="F897" s="25">
        <v>1679.04</v>
      </c>
      <c r="G897" s="26">
        <f>T_Ventes[[#This Row],[CA HT]]-T_Ventes[[#This Row],[Coût achat HT]]</f>
        <v>855.65000000000009</v>
      </c>
      <c r="H897" s="27">
        <f>DATE(YEAR(T_Ventes[[#This Row],[Date facture]]),MONTH(T_Ventes[[#This Row],[Date facture]]),1)</f>
        <v>46266</v>
      </c>
      <c r="I897" s="28">
        <f>YEAR(T_Ventes[[#This Row],[Date facture]])</f>
        <v>2026</v>
      </c>
    </row>
    <row r="898" spans="1:9" x14ac:dyDescent="0.3">
      <c r="A898" s="23">
        <v>46272</v>
      </c>
      <c r="B898" s="24" t="s">
        <v>993</v>
      </c>
      <c r="C898" s="24" t="s">
        <v>56</v>
      </c>
      <c r="D898" s="24" t="s">
        <v>57</v>
      </c>
      <c r="E898" s="25">
        <v>5963.04</v>
      </c>
      <c r="F898" s="25">
        <v>3859.11</v>
      </c>
      <c r="G898" s="26">
        <f>T_Ventes[[#This Row],[CA HT]]-T_Ventes[[#This Row],[Coût achat HT]]</f>
        <v>2103.9299999999998</v>
      </c>
      <c r="H898" s="27">
        <f>DATE(YEAR(T_Ventes[[#This Row],[Date facture]]),MONTH(T_Ventes[[#This Row],[Date facture]]),1)</f>
        <v>46266</v>
      </c>
      <c r="I898" s="28">
        <f>YEAR(T_Ventes[[#This Row],[Date facture]])</f>
        <v>2026</v>
      </c>
    </row>
    <row r="899" spans="1:9" x14ac:dyDescent="0.3">
      <c r="A899" s="23">
        <v>46273</v>
      </c>
      <c r="B899" s="24" t="s">
        <v>994</v>
      </c>
      <c r="C899" s="24" t="s">
        <v>208</v>
      </c>
      <c r="D899" s="24" t="s">
        <v>64</v>
      </c>
      <c r="E899" s="25">
        <v>4950.6099999999997</v>
      </c>
      <c r="F899" s="25">
        <v>4028.23</v>
      </c>
      <c r="G899" s="26">
        <f>T_Ventes[[#This Row],[CA HT]]-T_Ventes[[#This Row],[Coût achat HT]]</f>
        <v>922.37999999999965</v>
      </c>
      <c r="H899" s="27">
        <f>DATE(YEAR(T_Ventes[[#This Row],[Date facture]]),MONTH(T_Ventes[[#This Row],[Date facture]]),1)</f>
        <v>46266</v>
      </c>
      <c r="I899" s="28">
        <f>YEAR(T_Ventes[[#This Row],[Date facture]])</f>
        <v>2026</v>
      </c>
    </row>
    <row r="900" spans="1:9" x14ac:dyDescent="0.3">
      <c r="A900" s="23">
        <v>46273</v>
      </c>
      <c r="B900" s="24" t="s">
        <v>995</v>
      </c>
      <c r="C900" s="24" t="s">
        <v>128</v>
      </c>
      <c r="D900" s="24" t="s">
        <v>57</v>
      </c>
      <c r="E900" s="25">
        <v>1953.46</v>
      </c>
      <c r="F900" s="25">
        <v>1270.45</v>
      </c>
      <c r="G900" s="26">
        <f>T_Ventes[[#This Row],[CA HT]]-T_Ventes[[#This Row],[Coût achat HT]]</f>
        <v>683.01</v>
      </c>
      <c r="H900" s="27">
        <f>DATE(YEAR(T_Ventes[[#This Row],[Date facture]]),MONTH(T_Ventes[[#This Row],[Date facture]]),1)</f>
        <v>46266</v>
      </c>
      <c r="I900" s="28">
        <f>YEAR(T_Ventes[[#This Row],[Date facture]])</f>
        <v>2026</v>
      </c>
    </row>
    <row r="901" spans="1:9" x14ac:dyDescent="0.3">
      <c r="A901" s="23">
        <v>46273</v>
      </c>
      <c r="B901" s="24" t="s">
        <v>996</v>
      </c>
      <c r="C901" s="24" t="s">
        <v>56</v>
      </c>
      <c r="D901" s="24" t="s">
        <v>71</v>
      </c>
      <c r="E901" s="25">
        <v>4897.2</v>
      </c>
      <c r="F901" s="25">
        <v>2912.67</v>
      </c>
      <c r="G901" s="26">
        <f>T_Ventes[[#This Row],[CA HT]]-T_Ventes[[#This Row],[Coût achat HT]]</f>
        <v>1984.5299999999997</v>
      </c>
      <c r="H901" s="27">
        <f>DATE(YEAR(T_Ventes[[#This Row],[Date facture]]),MONTH(T_Ventes[[#This Row],[Date facture]]),1)</f>
        <v>46266</v>
      </c>
      <c r="I901" s="28">
        <f>YEAR(T_Ventes[[#This Row],[Date facture]])</f>
        <v>2026</v>
      </c>
    </row>
    <row r="902" spans="1:9" x14ac:dyDescent="0.3">
      <c r="A902" s="23">
        <v>46273</v>
      </c>
      <c r="B902" s="24" t="s">
        <v>997</v>
      </c>
      <c r="C902" s="24" t="s">
        <v>80</v>
      </c>
      <c r="D902" s="24" t="s">
        <v>71</v>
      </c>
      <c r="E902" s="25">
        <v>5416.79</v>
      </c>
      <c r="F902" s="25">
        <v>3292.73</v>
      </c>
      <c r="G902" s="26">
        <f>T_Ventes[[#This Row],[CA HT]]-T_Ventes[[#This Row],[Coût achat HT]]</f>
        <v>2124.06</v>
      </c>
      <c r="H902" s="27">
        <f>DATE(YEAR(T_Ventes[[#This Row],[Date facture]]),MONTH(T_Ventes[[#This Row],[Date facture]]),1)</f>
        <v>46266</v>
      </c>
      <c r="I902" s="28">
        <f>YEAR(T_Ventes[[#This Row],[Date facture]])</f>
        <v>2026</v>
      </c>
    </row>
    <row r="903" spans="1:9" x14ac:dyDescent="0.3">
      <c r="A903" s="23">
        <v>46274</v>
      </c>
      <c r="B903" s="24" t="s">
        <v>998</v>
      </c>
      <c r="C903" s="24" t="s">
        <v>80</v>
      </c>
      <c r="D903" s="24" t="s">
        <v>57</v>
      </c>
      <c r="E903" s="25">
        <v>5393.57</v>
      </c>
      <c r="F903" s="25">
        <v>3552.72</v>
      </c>
      <c r="G903" s="26">
        <f>T_Ventes[[#This Row],[CA HT]]-T_Ventes[[#This Row],[Coût achat HT]]</f>
        <v>1840.85</v>
      </c>
      <c r="H903" s="27">
        <f>DATE(YEAR(T_Ventes[[#This Row],[Date facture]]),MONTH(T_Ventes[[#This Row],[Date facture]]),1)</f>
        <v>46266</v>
      </c>
      <c r="I903" s="28">
        <f>YEAR(T_Ventes[[#This Row],[Date facture]])</f>
        <v>2026</v>
      </c>
    </row>
    <row r="904" spans="1:9" x14ac:dyDescent="0.3">
      <c r="A904" s="23">
        <v>46274</v>
      </c>
      <c r="B904" s="24" t="s">
        <v>999</v>
      </c>
      <c r="C904" s="24" t="s">
        <v>173</v>
      </c>
      <c r="D904" s="24" t="s">
        <v>71</v>
      </c>
      <c r="E904" s="25">
        <v>3208.12</v>
      </c>
      <c r="F904" s="25">
        <v>1877.42</v>
      </c>
      <c r="G904" s="26">
        <f>T_Ventes[[#This Row],[CA HT]]-T_Ventes[[#This Row],[Coût achat HT]]</f>
        <v>1330.6999999999998</v>
      </c>
      <c r="H904" s="27">
        <f>DATE(YEAR(T_Ventes[[#This Row],[Date facture]]),MONTH(T_Ventes[[#This Row],[Date facture]]),1)</f>
        <v>46266</v>
      </c>
      <c r="I904" s="28">
        <f>YEAR(T_Ventes[[#This Row],[Date facture]])</f>
        <v>2026</v>
      </c>
    </row>
    <row r="905" spans="1:9" x14ac:dyDescent="0.3">
      <c r="A905" s="23">
        <v>46274</v>
      </c>
      <c r="B905" s="24" t="s">
        <v>1000</v>
      </c>
      <c r="C905" s="24" t="s">
        <v>80</v>
      </c>
      <c r="D905" s="24" t="s">
        <v>59</v>
      </c>
      <c r="E905" s="25">
        <v>2961.36</v>
      </c>
      <c r="F905" s="25">
        <v>1108.1500000000001</v>
      </c>
      <c r="G905" s="26">
        <f>T_Ventes[[#This Row],[CA HT]]-T_Ventes[[#This Row],[Coût achat HT]]</f>
        <v>1853.21</v>
      </c>
      <c r="H905" s="27">
        <f>DATE(YEAR(T_Ventes[[#This Row],[Date facture]]),MONTH(T_Ventes[[#This Row],[Date facture]]),1)</f>
        <v>46266</v>
      </c>
      <c r="I905" s="28">
        <f>YEAR(T_Ventes[[#This Row],[Date facture]])</f>
        <v>2026</v>
      </c>
    </row>
    <row r="906" spans="1:9" x14ac:dyDescent="0.3">
      <c r="A906" s="23">
        <v>46275</v>
      </c>
      <c r="B906" s="24" t="s">
        <v>1001</v>
      </c>
      <c r="C906" s="24" t="s">
        <v>56</v>
      </c>
      <c r="D906" s="24" t="s">
        <v>57</v>
      </c>
      <c r="E906" s="25">
        <v>5546.95</v>
      </c>
      <c r="F906" s="25">
        <v>3715.02</v>
      </c>
      <c r="G906" s="26">
        <f>T_Ventes[[#This Row],[CA HT]]-T_Ventes[[#This Row],[Coût achat HT]]</f>
        <v>1831.9299999999998</v>
      </c>
      <c r="H906" s="27">
        <f>DATE(YEAR(T_Ventes[[#This Row],[Date facture]]),MONTH(T_Ventes[[#This Row],[Date facture]]),1)</f>
        <v>46266</v>
      </c>
      <c r="I906" s="28">
        <f>YEAR(T_Ventes[[#This Row],[Date facture]])</f>
        <v>2026</v>
      </c>
    </row>
    <row r="907" spans="1:9" x14ac:dyDescent="0.3">
      <c r="A907" s="23">
        <v>46275</v>
      </c>
      <c r="B907" s="24" t="s">
        <v>1002</v>
      </c>
      <c r="C907" s="24" t="s">
        <v>73</v>
      </c>
      <c r="D907" s="24" t="s">
        <v>71</v>
      </c>
      <c r="E907" s="25">
        <v>3236.27</v>
      </c>
      <c r="F907" s="25">
        <v>1853.4</v>
      </c>
      <c r="G907" s="26">
        <f>T_Ventes[[#This Row],[CA HT]]-T_Ventes[[#This Row],[Coût achat HT]]</f>
        <v>1382.87</v>
      </c>
      <c r="H907" s="27">
        <f>DATE(YEAR(T_Ventes[[#This Row],[Date facture]]),MONTH(T_Ventes[[#This Row],[Date facture]]),1)</f>
        <v>46266</v>
      </c>
      <c r="I907" s="28">
        <f>YEAR(T_Ventes[[#This Row],[Date facture]])</f>
        <v>2026</v>
      </c>
    </row>
    <row r="908" spans="1:9" x14ac:dyDescent="0.3">
      <c r="A908" s="23">
        <v>46275</v>
      </c>
      <c r="B908" s="24" t="s">
        <v>1003</v>
      </c>
      <c r="C908" s="24" t="s">
        <v>76</v>
      </c>
      <c r="D908" s="24" t="s">
        <v>59</v>
      </c>
      <c r="E908" s="25">
        <v>4638.3599999999997</v>
      </c>
      <c r="F908" s="25">
        <v>1846.99</v>
      </c>
      <c r="G908" s="26">
        <f>T_Ventes[[#This Row],[CA HT]]-T_Ventes[[#This Row],[Coût achat HT]]</f>
        <v>2791.37</v>
      </c>
      <c r="H908" s="27">
        <f>DATE(YEAR(T_Ventes[[#This Row],[Date facture]]),MONTH(T_Ventes[[#This Row],[Date facture]]),1)</f>
        <v>46266</v>
      </c>
      <c r="I908" s="28">
        <f>YEAR(T_Ventes[[#This Row],[Date facture]])</f>
        <v>2026</v>
      </c>
    </row>
    <row r="909" spans="1:9" x14ac:dyDescent="0.3">
      <c r="A909" s="23">
        <v>46276</v>
      </c>
      <c r="B909" s="24" t="s">
        <v>1004</v>
      </c>
      <c r="C909" s="24" t="s">
        <v>166</v>
      </c>
      <c r="D909" s="24" t="s">
        <v>64</v>
      </c>
      <c r="E909" s="25">
        <v>1992.57</v>
      </c>
      <c r="F909" s="25">
        <v>1620.7</v>
      </c>
      <c r="G909" s="26">
        <f>T_Ventes[[#This Row],[CA HT]]-T_Ventes[[#This Row],[Coût achat HT]]</f>
        <v>371.86999999999989</v>
      </c>
      <c r="H909" s="27">
        <f>DATE(YEAR(T_Ventes[[#This Row],[Date facture]]),MONTH(T_Ventes[[#This Row],[Date facture]]),1)</f>
        <v>46266</v>
      </c>
      <c r="I909" s="28">
        <f>YEAR(T_Ventes[[#This Row],[Date facture]])</f>
        <v>2026</v>
      </c>
    </row>
    <row r="910" spans="1:9" x14ac:dyDescent="0.3">
      <c r="A910" s="23">
        <v>46276</v>
      </c>
      <c r="B910" s="24" t="s">
        <v>1005</v>
      </c>
      <c r="C910" s="24" t="s">
        <v>348</v>
      </c>
      <c r="D910" s="24" t="s">
        <v>64</v>
      </c>
      <c r="E910" s="25">
        <v>2092.62</v>
      </c>
      <c r="F910" s="25">
        <v>1702.4</v>
      </c>
      <c r="G910" s="26">
        <f>T_Ventes[[#This Row],[CA HT]]-T_Ventes[[#This Row],[Coût achat HT]]</f>
        <v>390.2199999999998</v>
      </c>
      <c r="H910" s="27">
        <f>DATE(YEAR(T_Ventes[[#This Row],[Date facture]]),MONTH(T_Ventes[[#This Row],[Date facture]]),1)</f>
        <v>46266</v>
      </c>
      <c r="I910" s="28">
        <f>YEAR(T_Ventes[[#This Row],[Date facture]])</f>
        <v>2026</v>
      </c>
    </row>
    <row r="911" spans="1:9" x14ac:dyDescent="0.3">
      <c r="A911" s="23">
        <v>46276</v>
      </c>
      <c r="B911" s="24" t="s">
        <v>1006</v>
      </c>
      <c r="C911" s="24" t="s">
        <v>80</v>
      </c>
      <c r="D911" s="24" t="s">
        <v>64</v>
      </c>
      <c r="E911" s="25">
        <v>6385.3</v>
      </c>
      <c r="F911" s="25">
        <v>5140.4399999999996</v>
      </c>
      <c r="G911" s="26">
        <f>T_Ventes[[#This Row],[CA HT]]-T_Ventes[[#This Row],[Coût achat HT]]</f>
        <v>1244.8600000000006</v>
      </c>
      <c r="H911" s="27">
        <f>DATE(YEAR(T_Ventes[[#This Row],[Date facture]]),MONTH(T_Ventes[[#This Row],[Date facture]]),1)</f>
        <v>46266</v>
      </c>
      <c r="I911" s="28">
        <f>YEAR(T_Ventes[[#This Row],[Date facture]])</f>
        <v>2026</v>
      </c>
    </row>
    <row r="912" spans="1:9" x14ac:dyDescent="0.3">
      <c r="A912" s="23">
        <v>46276</v>
      </c>
      <c r="B912" s="24" t="s">
        <v>1007</v>
      </c>
      <c r="C912" s="24" t="s">
        <v>292</v>
      </c>
      <c r="D912" s="24" t="s">
        <v>64</v>
      </c>
      <c r="E912" s="25">
        <v>2709.54</v>
      </c>
      <c r="F912" s="25">
        <v>2202.89</v>
      </c>
      <c r="G912" s="26">
        <f>T_Ventes[[#This Row],[CA HT]]-T_Ventes[[#This Row],[Coût achat HT]]</f>
        <v>506.65000000000009</v>
      </c>
      <c r="H912" s="27">
        <f>DATE(YEAR(T_Ventes[[#This Row],[Date facture]]),MONTH(T_Ventes[[#This Row],[Date facture]]),1)</f>
        <v>46266</v>
      </c>
      <c r="I912" s="28">
        <f>YEAR(T_Ventes[[#This Row],[Date facture]])</f>
        <v>2026</v>
      </c>
    </row>
    <row r="913" spans="1:9" x14ac:dyDescent="0.3">
      <c r="A913" s="23">
        <v>46276</v>
      </c>
      <c r="B913" s="24" t="s">
        <v>1008</v>
      </c>
      <c r="C913" s="24" t="s">
        <v>84</v>
      </c>
      <c r="D913" s="24" t="s">
        <v>57</v>
      </c>
      <c r="E913" s="25">
        <v>6072.75</v>
      </c>
      <c r="F913" s="25">
        <v>4020.11</v>
      </c>
      <c r="G913" s="26">
        <f>T_Ventes[[#This Row],[CA HT]]-T_Ventes[[#This Row],[Coût achat HT]]</f>
        <v>2052.64</v>
      </c>
      <c r="H913" s="27">
        <f>DATE(YEAR(T_Ventes[[#This Row],[Date facture]]),MONTH(T_Ventes[[#This Row],[Date facture]]),1)</f>
        <v>46266</v>
      </c>
      <c r="I913" s="28">
        <f>YEAR(T_Ventes[[#This Row],[Date facture]])</f>
        <v>2026</v>
      </c>
    </row>
    <row r="914" spans="1:9" x14ac:dyDescent="0.3">
      <c r="A914" s="23">
        <v>46276</v>
      </c>
      <c r="B914" s="24" t="s">
        <v>1009</v>
      </c>
      <c r="C914" s="24" t="s">
        <v>68</v>
      </c>
      <c r="D914" s="24" t="s">
        <v>59</v>
      </c>
      <c r="E914" s="25">
        <v>4515.8900000000003</v>
      </c>
      <c r="F914" s="25">
        <v>1789.77</v>
      </c>
      <c r="G914" s="26">
        <f>T_Ventes[[#This Row],[CA HT]]-T_Ventes[[#This Row],[Coût achat HT]]</f>
        <v>2726.1200000000003</v>
      </c>
      <c r="H914" s="27">
        <f>DATE(YEAR(T_Ventes[[#This Row],[Date facture]]),MONTH(T_Ventes[[#This Row],[Date facture]]),1)</f>
        <v>46266</v>
      </c>
      <c r="I914" s="28">
        <f>YEAR(T_Ventes[[#This Row],[Date facture]])</f>
        <v>2026</v>
      </c>
    </row>
    <row r="915" spans="1:9" x14ac:dyDescent="0.3">
      <c r="A915" s="23">
        <v>46277</v>
      </c>
      <c r="B915" s="24" t="s">
        <v>1010</v>
      </c>
      <c r="C915" s="24" t="s">
        <v>115</v>
      </c>
      <c r="D915" s="24" t="s">
        <v>71</v>
      </c>
      <c r="E915" s="25">
        <v>2704.03</v>
      </c>
      <c r="F915" s="25">
        <v>1604.59</v>
      </c>
      <c r="G915" s="26">
        <f>T_Ventes[[#This Row],[CA HT]]-T_Ventes[[#This Row],[Coût achat HT]]</f>
        <v>1099.4400000000003</v>
      </c>
      <c r="H915" s="27">
        <f>DATE(YEAR(T_Ventes[[#This Row],[Date facture]]),MONTH(T_Ventes[[#This Row],[Date facture]]),1)</f>
        <v>46266</v>
      </c>
      <c r="I915" s="28">
        <f>YEAR(T_Ventes[[#This Row],[Date facture]])</f>
        <v>2026</v>
      </c>
    </row>
    <row r="916" spans="1:9" x14ac:dyDescent="0.3">
      <c r="A916" s="23">
        <v>46279</v>
      </c>
      <c r="B916" s="24" t="s">
        <v>1011</v>
      </c>
      <c r="C916" s="24" t="s">
        <v>115</v>
      </c>
      <c r="D916" s="24" t="s">
        <v>57</v>
      </c>
      <c r="E916" s="25">
        <v>1771.84</v>
      </c>
      <c r="F916" s="25">
        <v>1150.6600000000001</v>
      </c>
      <c r="G916" s="26">
        <f>T_Ventes[[#This Row],[CA HT]]-T_Ventes[[#This Row],[Coût achat HT]]</f>
        <v>621.17999999999984</v>
      </c>
      <c r="H916" s="27">
        <f>DATE(YEAR(T_Ventes[[#This Row],[Date facture]]),MONTH(T_Ventes[[#This Row],[Date facture]]),1)</f>
        <v>46266</v>
      </c>
      <c r="I916" s="28">
        <f>YEAR(T_Ventes[[#This Row],[Date facture]])</f>
        <v>2026</v>
      </c>
    </row>
    <row r="917" spans="1:9" x14ac:dyDescent="0.3">
      <c r="A917" s="23">
        <v>46279</v>
      </c>
      <c r="B917" s="24" t="s">
        <v>1012</v>
      </c>
      <c r="C917" s="24" t="s">
        <v>56</v>
      </c>
      <c r="D917" s="24" t="s">
        <v>71</v>
      </c>
      <c r="E917" s="25">
        <v>2530.4499999999998</v>
      </c>
      <c r="F917" s="25">
        <v>1535.94</v>
      </c>
      <c r="G917" s="26">
        <f>T_Ventes[[#This Row],[CA HT]]-T_Ventes[[#This Row],[Coût achat HT]]</f>
        <v>994.50999999999976</v>
      </c>
      <c r="H917" s="27">
        <f>DATE(YEAR(T_Ventes[[#This Row],[Date facture]]),MONTH(T_Ventes[[#This Row],[Date facture]]),1)</f>
        <v>46266</v>
      </c>
      <c r="I917" s="28">
        <f>YEAR(T_Ventes[[#This Row],[Date facture]])</f>
        <v>2026</v>
      </c>
    </row>
    <row r="918" spans="1:9" x14ac:dyDescent="0.3">
      <c r="A918" s="23">
        <v>46281</v>
      </c>
      <c r="B918" s="24" t="s">
        <v>1013</v>
      </c>
      <c r="C918" s="24" t="s">
        <v>56</v>
      </c>
      <c r="D918" s="24" t="s">
        <v>59</v>
      </c>
      <c r="E918" s="25">
        <v>3113.69</v>
      </c>
      <c r="F918" s="25">
        <v>1266.47</v>
      </c>
      <c r="G918" s="26">
        <f>T_Ventes[[#This Row],[CA HT]]-T_Ventes[[#This Row],[Coût achat HT]]</f>
        <v>1847.22</v>
      </c>
      <c r="H918" s="27">
        <f>DATE(YEAR(T_Ventes[[#This Row],[Date facture]]),MONTH(T_Ventes[[#This Row],[Date facture]]),1)</f>
        <v>46266</v>
      </c>
      <c r="I918" s="28">
        <f>YEAR(T_Ventes[[#This Row],[Date facture]])</f>
        <v>2026</v>
      </c>
    </row>
    <row r="919" spans="1:9" x14ac:dyDescent="0.3">
      <c r="A919" s="23">
        <v>46282</v>
      </c>
      <c r="B919" s="24" t="s">
        <v>1014</v>
      </c>
      <c r="C919" s="24" t="s">
        <v>84</v>
      </c>
      <c r="D919" s="24" t="s">
        <v>64</v>
      </c>
      <c r="E919" s="25">
        <v>2544.08</v>
      </c>
      <c r="F919" s="25">
        <v>2064.15</v>
      </c>
      <c r="G919" s="26">
        <f>T_Ventes[[#This Row],[CA HT]]-T_Ventes[[#This Row],[Coût achat HT]]</f>
        <v>479.92999999999984</v>
      </c>
      <c r="H919" s="27">
        <f>DATE(YEAR(T_Ventes[[#This Row],[Date facture]]),MONTH(T_Ventes[[#This Row],[Date facture]]),1)</f>
        <v>46266</v>
      </c>
      <c r="I919" s="28">
        <f>YEAR(T_Ventes[[#This Row],[Date facture]])</f>
        <v>2026</v>
      </c>
    </row>
    <row r="920" spans="1:9" x14ac:dyDescent="0.3">
      <c r="A920" s="23">
        <v>46282</v>
      </c>
      <c r="B920" s="24" t="s">
        <v>1015</v>
      </c>
      <c r="C920" s="24" t="s">
        <v>100</v>
      </c>
      <c r="D920" s="24" t="s">
        <v>64</v>
      </c>
      <c r="E920" s="25">
        <v>2624.7</v>
      </c>
      <c r="F920" s="25">
        <v>2140.64</v>
      </c>
      <c r="G920" s="26">
        <f>T_Ventes[[#This Row],[CA HT]]-T_Ventes[[#This Row],[Coût achat HT]]</f>
        <v>484.05999999999995</v>
      </c>
      <c r="H920" s="27">
        <f>DATE(YEAR(T_Ventes[[#This Row],[Date facture]]),MONTH(T_Ventes[[#This Row],[Date facture]]),1)</f>
        <v>46266</v>
      </c>
      <c r="I920" s="28">
        <f>YEAR(T_Ventes[[#This Row],[Date facture]])</f>
        <v>2026</v>
      </c>
    </row>
    <row r="921" spans="1:9" x14ac:dyDescent="0.3">
      <c r="A921" s="23">
        <v>46282</v>
      </c>
      <c r="B921" s="24" t="s">
        <v>1016</v>
      </c>
      <c r="C921" s="24" t="s">
        <v>78</v>
      </c>
      <c r="D921" s="24" t="s">
        <v>57</v>
      </c>
      <c r="E921" s="25">
        <v>3660.03</v>
      </c>
      <c r="F921" s="25">
        <v>2465.48</v>
      </c>
      <c r="G921" s="26">
        <f>T_Ventes[[#This Row],[CA HT]]-T_Ventes[[#This Row],[Coût achat HT]]</f>
        <v>1194.5500000000002</v>
      </c>
      <c r="H921" s="27">
        <f>DATE(YEAR(T_Ventes[[#This Row],[Date facture]]),MONTH(T_Ventes[[#This Row],[Date facture]]),1)</f>
        <v>46266</v>
      </c>
      <c r="I921" s="28">
        <f>YEAR(T_Ventes[[#This Row],[Date facture]])</f>
        <v>2026</v>
      </c>
    </row>
    <row r="922" spans="1:9" x14ac:dyDescent="0.3">
      <c r="A922" s="23">
        <v>46282</v>
      </c>
      <c r="B922" s="24" t="s">
        <v>1017</v>
      </c>
      <c r="C922" s="24" t="s">
        <v>115</v>
      </c>
      <c r="D922" s="24" t="s">
        <v>59</v>
      </c>
      <c r="E922" s="25">
        <v>4382.87</v>
      </c>
      <c r="F922" s="25">
        <v>1732.37</v>
      </c>
      <c r="G922" s="26">
        <f>T_Ventes[[#This Row],[CA HT]]-T_Ventes[[#This Row],[Coût achat HT]]</f>
        <v>2650.5</v>
      </c>
      <c r="H922" s="27">
        <f>DATE(YEAR(T_Ventes[[#This Row],[Date facture]]),MONTH(T_Ventes[[#This Row],[Date facture]]),1)</f>
        <v>46266</v>
      </c>
      <c r="I922" s="28">
        <f>YEAR(T_Ventes[[#This Row],[Date facture]])</f>
        <v>2026</v>
      </c>
    </row>
    <row r="923" spans="1:9" x14ac:dyDescent="0.3">
      <c r="A923" s="23">
        <v>46283</v>
      </c>
      <c r="B923" s="24" t="s">
        <v>1018</v>
      </c>
      <c r="C923" s="24" t="s">
        <v>56</v>
      </c>
      <c r="D923" s="24" t="s">
        <v>57</v>
      </c>
      <c r="E923" s="25">
        <v>1883.28</v>
      </c>
      <c r="F923" s="25">
        <v>1224.0899999999999</v>
      </c>
      <c r="G923" s="26">
        <f>T_Ventes[[#This Row],[CA HT]]-T_Ventes[[#This Row],[Coût achat HT]]</f>
        <v>659.19</v>
      </c>
      <c r="H923" s="27">
        <f>DATE(YEAR(T_Ventes[[#This Row],[Date facture]]),MONTH(T_Ventes[[#This Row],[Date facture]]),1)</f>
        <v>46266</v>
      </c>
      <c r="I923" s="28">
        <f>YEAR(T_Ventes[[#This Row],[Date facture]])</f>
        <v>2026</v>
      </c>
    </row>
    <row r="924" spans="1:9" x14ac:dyDescent="0.3">
      <c r="A924" s="23">
        <v>46284</v>
      </c>
      <c r="B924" s="24" t="s">
        <v>1019</v>
      </c>
      <c r="C924" s="24" t="s">
        <v>56</v>
      </c>
      <c r="D924" s="24" t="s">
        <v>57</v>
      </c>
      <c r="E924" s="25">
        <v>3588.23</v>
      </c>
      <c r="F924" s="25">
        <v>2405.98</v>
      </c>
      <c r="G924" s="26">
        <f>T_Ventes[[#This Row],[CA HT]]-T_Ventes[[#This Row],[Coût achat HT]]</f>
        <v>1182.25</v>
      </c>
      <c r="H924" s="27">
        <f>DATE(YEAR(T_Ventes[[#This Row],[Date facture]]),MONTH(T_Ventes[[#This Row],[Date facture]]),1)</f>
        <v>46266</v>
      </c>
      <c r="I924" s="28">
        <f>YEAR(T_Ventes[[#This Row],[Date facture]])</f>
        <v>2026</v>
      </c>
    </row>
    <row r="925" spans="1:9" x14ac:dyDescent="0.3">
      <c r="A925" s="23">
        <v>46284</v>
      </c>
      <c r="B925" s="24" t="s">
        <v>1020</v>
      </c>
      <c r="C925" s="24" t="s">
        <v>56</v>
      </c>
      <c r="D925" s="24" t="s">
        <v>57</v>
      </c>
      <c r="E925" s="25">
        <v>2607.4</v>
      </c>
      <c r="F925" s="25">
        <v>1717.04</v>
      </c>
      <c r="G925" s="26">
        <f>T_Ventes[[#This Row],[CA HT]]-T_Ventes[[#This Row],[Coût achat HT]]</f>
        <v>890.36000000000013</v>
      </c>
      <c r="H925" s="27">
        <f>DATE(YEAR(T_Ventes[[#This Row],[Date facture]]),MONTH(T_Ventes[[#This Row],[Date facture]]),1)</f>
        <v>46266</v>
      </c>
      <c r="I925" s="28">
        <f>YEAR(T_Ventes[[#This Row],[Date facture]])</f>
        <v>2026</v>
      </c>
    </row>
    <row r="926" spans="1:9" x14ac:dyDescent="0.3">
      <c r="A926" s="23">
        <v>46284</v>
      </c>
      <c r="B926" s="24" t="s">
        <v>1021</v>
      </c>
      <c r="C926" s="24" t="s">
        <v>56</v>
      </c>
      <c r="D926" s="24" t="s">
        <v>71</v>
      </c>
      <c r="E926" s="25">
        <v>1582.54</v>
      </c>
      <c r="F926" s="25">
        <v>905.47</v>
      </c>
      <c r="G926" s="26">
        <f>T_Ventes[[#This Row],[CA HT]]-T_Ventes[[#This Row],[Coût achat HT]]</f>
        <v>677.06999999999994</v>
      </c>
      <c r="H926" s="27">
        <f>DATE(YEAR(T_Ventes[[#This Row],[Date facture]]),MONTH(T_Ventes[[#This Row],[Date facture]]),1)</f>
        <v>46266</v>
      </c>
      <c r="I926" s="28">
        <f>YEAR(T_Ventes[[#This Row],[Date facture]])</f>
        <v>2026</v>
      </c>
    </row>
    <row r="927" spans="1:9" x14ac:dyDescent="0.3">
      <c r="A927" s="23">
        <v>46286</v>
      </c>
      <c r="B927" s="24" t="s">
        <v>1022</v>
      </c>
      <c r="C927" s="24" t="s">
        <v>56</v>
      </c>
      <c r="D927" s="24" t="s">
        <v>64</v>
      </c>
      <c r="E927" s="25">
        <v>2752.97</v>
      </c>
      <c r="F927" s="25">
        <v>2246.2600000000002</v>
      </c>
      <c r="G927" s="26">
        <f>T_Ventes[[#This Row],[CA HT]]-T_Ventes[[#This Row],[Coût achat HT]]</f>
        <v>506.70999999999958</v>
      </c>
      <c r="H927" s="27">
        <f>DATE(YEAR(T_Ventes[[#This Row],[Date facture]]),MONTH(T_Ventes[[#This Row],[Date facture]]),1)</f>
        <v>46266</v>
      </c>
      <c r="I927" s="28">
        <f>YEAR(T_Ventes[[#This Row],[Date facture]])</f>
        <v>2026</v>
      </c>
    </row>
    <row r="928" spans="1:9" x14ac:dyDescent="0.3">
      <c r="A928" s="23">
        <v>46288</v>
      </c>
      <c r="B928" s="24" t="s">
        <v>1023</v>
      </c>
      <c r="C928" s="24" t="s">
        <v>115</v>
      </c>
      <c r="D928" s="24" t="s">
        <v>64</v>
      </c>
      <c r="E928" s="25">
        <v>1811.77</v>
      </c>
      <c r="F928" s="25">
        <v>1454.42</v>
      </c>
      <c r="G928" s="26">
        <f>T_Ventes[[#This Row],[CA HT]]-T_Ventes[[#This Row],[Coût achat HT]]</f>
        <v>357.34999999999991</v>
      </c>
      <c r="H928" s="27">
        <f>DATE(YEAR(T_Ventes[[#This Row],[Date facture]]),MONTH(T_Ventes[[#This Row],[Date facture]]),1)</f>
        <v>46266</v>
      </c>
      <c r="I928" s="28">
        <f>YEAR(T_Ventes[[#This Row],[Date facture]])</f>
        <v>2026</v>
      </c>
    </row>
    <row r="929" spans="1:9" x14ac:dyDescent="0.3">
      <c r="A929" s="23">
        <v>46288</v>
      </c>
      <c r="B929" s="24" t="s">
        <v>1024</v>
      </c>
      <c r="C929" s="24" t="s">
        <v>115</v>
      </c>
      <c r="D929" s="24" t="s">
        <v>64</v>
      </c>
      <c r="E929" s="25">
        <v>3492.09</v>
      </c>
      <c r="F929" s="25">
        <v>2797.73</v>
      </c>
      <c r="G929" s="26">
        <f>T_Ventes[[#This Row],[CA HT]]-T_Ventes[[#This Row],[Coût achat HT]]</f>
        <v>694.36000000000013</v>
      </c>
      <c r="H929" s="27">
        <f>DATE(YEAR(T_Ventes[[#This Row],[Date facture]]),MONTH(T_Ventes[[#This Row],[Date facture]]),1)</f>
        <v>46266</v>
      </c>
      <c r="I929" s="28">
        <f>YEAR(T_Ventes[[#This Row],[Date facture]])</f>
        <v>2026</v>
      </c>
    </row>
    <row r="930" spans="1:9" x14ac:dyDescent="0.3">
      <c r="A930" s="23">
        <v>46288</v>
      </c>
      <c r="B930" s="24" t="s">
        <v>1025</v>
      </c>
      <c r="C930" s="24" t="s">
        <v>56</v>
      </c>
      <c r="D930" s="24" t="s">
        <v>64</v>
      </c>
      <c r="E930" s="25">
        <v>4176.2700000000004</v>
      </c>
      <c r="F930" s="25">
        <v>3398.9</v>
      </c>
      <c r="G930" s="26">
        <f>T_Ventes[[#This Row],[CA HT]]-T_Ventes[[#This Row],[Coût achat HT]]</f>
        <v>777.37000000000035</v>
      </c>
      <c r="H930" s="27">
        <f>DATE(YEAR(T_Ventes[[#This Row],[Date facture]]),MONTH(T_Ventes[[#This Row],[Date facture]]),1)</f>
        <v>46266</v>
      </c>
      <c r="I930" s="28">
        <f>YEAR(T_Ventes[[#This Row],[Date facture]])</f>
        <v>2026</v>
      </c>
    </row>
    <row r="931" spans="1:9" x14ac:dyDescent="0.3">
      <c r="A931" s="23">
        <v>46289</v>
      </c>
      <c r="B931" s="24" t="s">
        <v>1026</v>
      </c>
      <c r="C931" s="24" t="s">
        <v>108</v>
      </c>
      <c r="D931" s="24" t="s">
        <v>64</v>
      </c>
      <c r="E931" s="25">
        <v>5419.56</v>
      </c>
      <c r="F931" s="25">
        <v>4435.33</v>
      </c>
      <c r="G931" s="26">
        <f>T_Ventes[[#This Row],[CA HT]]-T_Ventes[[#This Row],[Coût achat HT]]</f>
        <v>984.23000000000047</v>
      </c>
      <c r="H931" s="27">
        <f>DATE(YEAR(T_Ventes[[#This Row],[Date facture]]),MONTH(T_Ventes[[#This Row],[Date facture]]),1)</f>
        <v>46266</v>
      </c>
      <c r="I931" s="28">
        <f>YEAR(T_Ventes[[#This Row],[Date facture]])</f>
        <v>2026</v>
      </c>
    </row>
    <row r="932" spans="1:9" x14ac:dyDescent="0.3">
      <c r="A932" s="23">
        <v>46289</v>
      </c>
      <c r="B932" s="24" t="s">
        <v>1027</v>
      </c>
      <c r="C932" s="24" t="s">
        <v>63</v>
      </c>
      <c r="D932" s="24" t="s">
        <v>64</v>
      </c>
      <c r="E932" s="25">
        <v>6400.13</v>
      </c>
      <c r="F932" s="25">
        <v>5166.05</v>
      </c>
      <c r="G932" s="26">
        <f>T_Ventes[[#This Row],[CA HT]]-T_Ventes[[#This Row],[Coût achat HT]]</f>
        <v>1234.08</v>
      </c>
      <c r="H932" s="27">
        <f>DATE(YEAR(T_Ventes[[#This Row],[Date facture]]),MONTH(T_Ventes[[#This Row],[Date facture]]),1)</f>
        <v>46266</v>
      </c>
      <c r="I932" s="28">
        <f>YEAR(T_Ventes[[#This Row],[Date facture]])</f>
        <v>2026</v>
      </c>
    </row>
    <row r="933" spans="1:9" x14ac:dyDescent="0.3">
      <c r="A933" s="23">
        <v>46290</v>
      </c>
      <c r="B933" s="24" t="s">
        <v>1028</v>
      </c>
      <c r="C933" s="24" t="s">
        <v>96</v>
      </c>
      <c r="D933" s="24" t="s">
        <v>57</v>
      </c>
      <c r="E933" s="25">
        <v>5880.47</v>
      </c>
      <c r="F933" s="25">
        <v>3948.93</v>
      </c>
      <c r="G933" s="26">
        <f>T_Ventes[[#This Row],[CA HT]]-T_Ventes[[#This Row],[Coût achat HT]]</f>
        <v>1931.5400000000004</v>
      </c>
      <c r="H933" s="27">
        <f>DATE(YEAR(T_Ventes[[#This Row],[Date facture]]),MONTH(T_Ventes[[#This Row],[Date facture]]),1)</f>
        <v>46266</v>
      </c>
      <c r="I933" s="28">
        <f>YEAR(T_Ventes[[#This Row],[Date facture]])</f>
        <v>2026</v>
      </c>
    </row>
    <row r="934" spans="1:9" x14ac:dyDescent="0.3">
      <c r="A934" s="23">
        <v>46291</v>
      </c>
      <c r="B934" s="24" t="s">
        <v>1029</v>
      </c>
      <c r="C934" s="24" t="s">
        <v>73</v>
      </c>
      <c r="D934" s="24" t="s">
        <v>71</v>
      </c>
      <c r="E934" s="25">
        <v>5668.91</v>
      </c>
      <c r="F934" s="25">
        <v>3311.95</v>
      </c>
      <c r="G934" s="26">
        <f>T_Ventes[[#This Row],[CA HT]]-T_Ventes[[#This Row],[Coût achat HT]]</f>
        <v>2356.96</v>
      </c>
      <c r="H934" s="27">
        <f>DATE(YEAR(T_Ventes[[#This Row],[Date facture]]),MONTH(T_Ventes[[#This Row],[Date facture]]),1)</f>
        <v>46266</v>
      </c>
      <c r="I934" s="28">
        <f>YEAR(T_Ventes[[#This Row],[Date facture]])</f>
        <v>2026</v>
      </c>
    </row>
    <row r="935" spans="1:9" x14ac:dyDescent="0.3">
      <c r="A935" s="23">
        <v>46292</v>
      </c>
      <c r="B935" s="24" t="s">
        <v>1030</v>
      </c>
      <c r="C935" s="24" t="s">
        <v>162</v>
      </c>
      <c r="D935" s="24" t="s">
        <v>64</v>
      </c>
      <c r="E935" s="25">
        <v>5004.6499999999996</v>
      </c>
      <c r="F935" s="25">
        <v>4087.08</v>
      </c>
      <c r="G935" s="26">
        <f>T_Ventes[[#This Row],[CA HT]]-T_Ventes[[#This Row],[Coût achat HT]]</f>
        <v>917.56999999999971</v>
      </c>
      <c r="H935" s="27">
        <f>DATE(YEAR(T_Ventes[[#This Row],[Date facture]]),MONTH(T_Ventes[[#This Row],[Date facture]]),1)</f>
        <v>46266</v>
      </c>
      <c r="I935" s="28">
        <f>YEAR(T_Ventes[[#This Row],[Date facture]])</f>
        <v>2026</v>
      </c>
    </row>
    <row r="936" spans="1:9" x14ac:dyDescent="0.3">
      <c r="A936" s="23">
        <v>46292</v>
      </c>
      <c r="B936" s="24" t="s">
        <v>1031</v>
      </c>
      <c r="C936" s="24" t="s">
        <v>96</v>
      </c>
      <c r="D936" s="24" t="s">
        <v>64</v>
      </c>
      <c r="E936" s="25">
        <v>2817.22</v>
      </c>
      <c r="F936" s="25">
        <v>2257.29</v>
      </c>
      <c r="G936" s="26">
        <f>T_Ventes[[#This Row],[CA HT]]-T_Ventes[[#This Row],[Coût achat HT]]</f>
        <v>559.92999999999984</v>
      </c>
      <c r="H936" s="27">
        <f>DATE(YEAR(T_Ventes[[#This Row],[Date facture]]),MONTH(T_Ventes[[#This Row],[Date facture]]),1)</f>
        <v>46266</v>
      </c>
      <c r="I936" s="28">
        <f>YEAR(T_Ventes[[#This Row],[Date facture]])</f>
        <v>2026</v>
      </c>
    </row>
  </sheetData>
  <mergeCells count="1">
    <mergeCell ref="A1:I1"/>
  </mergeCells>
  <dataValidations count="1">
    <dataValidation type="list" allowBlank="1" sqref="D4:D5000" xr:uid="{00000000-0002-0000-0200-000000000000}">
      <formula1>L_Familles</formula1>
    </dataValidation>
  </dataValidations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FB4"/>
  </sheetPr>
  <dimension ref="A1:E39"/>
  <sheetViews>
    <sheetView workbookViewId="0">
      <pane ySplit="3" topLeftCell="A4" activePane="bottomLeft" state="frozen"/>
      <selection pane="bottomLeft"/>
    </sheetView>
  </sheetViews>
  <sheetFormatPr baseColWidth="10" defaultColWidth="8.88671875" defaultRowHeight="14.4" x14ac:dyDescent="0.3"/>
  <cols>
    <col min="1" max="1" width="12" customWidth="1"/>
    <col min="2" max="3" width="22" customWidth="1"/>
    <col min="4" max="4" width="26" customWidth="1"/>
  </cols>
  <sheetData>
    <row r="1" spans="1:5" ht="42" customHeight="1" x14ac:dyDescent="0.3">
      <c r="A1" s="101" t="s">
        <v>1032</v>
      </c>
      <c r="B1" s="65"/>
      <c r="C1" s="65"/>
      <c r="D1" s="65"/>
      <c r="E1" s="65"/>
    </row>
    <row r="3" spans="1:5" ht="31.95" customHeight="1" x14ac:dyDescent="0.3">
      <c r="A3" s="29" t="s">
        <v>53</v>
      </c>
      <c r="B3" s="29" t="s">
        <v>1033</v>
      </c>
      <c r="C3" s="29" t="s">
        <v>1034</v>
      </c>
      <c r="D3" s="29" t="s">
        <v>1035</v>
      </c>
    </row>
    <row r="4" spans="1:5" x14ac:dyDescent="0.3">
      <c r="A4" s="30">
        <v>45658</v>
      </c>
      <c r="B4" s="31">
        <v>46609</v>
      </c>
      <c r="C4" s="31">
        <v>159858</v>
      </c>
      <c r="D4" s="31">
        <v>94700</v>
      </c>
    </row>
    <row r="5" spans="1:5" x14ac:dyDescent="0.3">
      <c r="A5" s="30">
        <v>45689</v>
      </c>
      <c r="B5" s="31">
        <v>46622</v>
      </c>
      <c r="C5" s="31">
        <v>150533</v>
      </c>
      <c r="D5" s="31">
        <v>202600</v>
      </c>
    </row>
    <row r="6" spans="1:5" x14ac:dyDescent="0.3">
      <c r="A6" s="30">
        <v>45717</v>
      </c>
      <c r="B6" s="31">
        <v>48786</v>
      </c>
      <c r="C6" s="31">
        <v>148067</v>
      </c>
      <c r="D6" s="31">
        <v>308700</v>
      </c>
    </row>
    <row r="7" spans="1:5" x14ac:dyDescent="0.3">
      <c r="A7" s="30">
        <v>45748</v>
      </c>
      <c r="B7" s="31">
        <v>47414</v>
      </c>
      <c r="C7" s="31">
        <v>153500</v>
      </c>
      <c r="D7" s="31">
        <v>328500</v>
      </c>
    </row>
    <row r="8" spans="1:5" x14ac:dyDescent="0.3">
      <c r="A8" s="30">
        <v>45778</v>
      </c>
      <c r="B8" s="31">
        <v>47293</v>
      </c>
      <c r="C8" s="31">
        <v>161340</v>
      </c>
      <c r="D8" s="31">
        <v>366400</v>
      </c>
    </row>
    <row r="9" spans="1:5" x14ac:dyDescent="0.3">
      <c r="A9" s="30">
        <v>45809</v>
      </c>
      <c r="B9" s="31">
        <v>48758</v>
      </c>
      <c r="C9" s="31">
        <v>168941</v>
      </c>
      <c r="D9" s="31">
        <v>379200</v>
      </c>
    </row>
    <row r="10" spans="1:5" x14ac:dyDescent="0.3">
      <c r="A10" s="30">
        <v>45839</v>
      </c>
      <c r="B10" s="31">
        <v>48235</v>
      </c>
      <c r="C10" s="31">
        <v>164913</v>
      </c>
      <c r="D10" s="31">
        <v>371900</v>
      </c>
    </row>
    <row r="11" spans="1:5" x14ac:dyDescent="0.3">
      <c r="A11" s="30">
        <v>45870</v>
      </c>
      <c r="B11" s="31">
        <v>43369</v>
      </c>
      <c r="C11" s="31">
        <v>137487</v>
      </c>
      <c r="D11" s="31">
        <v>332100</v>
      </c>
    </row>
    <row r="12" spans="1:5" x14ac:dyDescent="0.3">
      <c r="A12" s="30">
        <v>45901</v>
      </c>
      <c r="B12" s="31">
        <v>47918</v>
      </c>
      <c r="C12" s="31">
        <v>151120</v>
      </c>
      <c r="D12" s="31">
        <v>304600</v>
      </c>
    </row>
    <row r="13" spans="1:5" x14ac:dyDescent="0.3">
      <c r="A13" s="30">
        <v>45931</v>
      </c>
      <c r="B13" s="31">
        <v>48806</v>
      </c>
      <c r="C13" s="31">
        <v>156737</v>
      </c>
      <c r="D13" s="31">
        <v>314300</v>
      </c>
    </row>
    <row r="14" spans="1:5" x14ac:dyDescent="0.3">
      <c r="A14" s="30">
        <v>45962</v>
      </c>
      <c r="B14" s="31">
        <v>48245</v>
      </c>
      <c r="C14" s="31">
        <v>165420</v>
      </c>
      <c r="D14" s="31">
        <v>351500</v>
      </c>
    </row>
    <row r="15" spans="1:5" x14ac:dyDescent="0.3">
      <c r="A15" s="30">
        <v>45992</v>
      </c>
      <c r="B15" s="31">
        <v>55162</v>
      </c>
      <c r="C15" s="31">
        <v>171474</v>
      </c>
      <c r="D15" s="31">
        <v>353500</v>
      </c>
    </row>
    <row r="16" spans="1:5" x14ac:dyDescent="0.3">
      <c r="A16" s="30">
        <v>46023</v>
      </c>
      <c r="B16" s="31">
        <v>50943</v>
      </c>
      <c r="C16" s="31">
        <v>167124</v>
      </c>
      <c r="D16" s="31">
        <v>320900</v>
      </c>
    </row>
    <row r="17" spans="1:4" x14ac:dyDescent="0.3">
      <c r="A17" s="30">
        <v>46054</v>
      </c>
      <c r="B17" s="31">
        <v>50386</v>
      </c>
      <c r="C17" s="31">
        <v>161138</v>
      </c>
      <c r="D17" s="31">
        <v>324600</v>
      </c>
    </row>
    <row r="18" spans="1:4" x14ac:dyDescent="0.3">
      <c r="A18" s="30">
        <v>46082</v>
      </c>
      <c r="B18" s="31">
        <v>51590</v>
      </c>
      <c r="C18" s="31">
        <v>150523</v>
      </c>
      <c r="D18" s="31">
        <v>348800</v>
      </c>
    </row>
    <row r="19" spans="1:4" x14ac:dyDescent="0.3">
      <c r="A19" s="30">
        <v>46113</v>
      </c>
      <c r="B19" s="31">
        <v>50496</v>
      </c>
      <c r="C19" s="31">
        <v>150399</v>
      </c>
      <c r="D19" s="31">
        <v>380500</v>
      </c>
    </row>
    <row r="20" spans="1:4" x14ac:dyDescent="0.3">
      <c r="A20" s="30">
        <v>46143</v>
      </c>
      <c r="B20" s="31">
        <v>52210</v>
      </c>
      <c r="C20" s="31">
        <v>144459</v>
      </c>
      <c r="D20" s="31">
        <v>423900</v>
      </c>
    </row>
    <row r="21" spans="1:4" x14ac:dyDescent="0.3">
      <c r="A21" s="30">
        <v>46174</v>
      </c>
      <c r="B21" s="31">
        <v>51428</v>
      </c>
      <c r="C21" s="31">
        <v>128782</v>
      </c>
      <c r="D21" s="31">
        <v>437900</v>
      </c>
    </row>
    <row r="22" spans="1:4" x14ac:dyDescent="0.3">
      <c r="A22" s="30">
        <v>46204</v>
      </c>
      <c r="B22" s="31">
        <v>52781</v>
      </c>
      <c r="C22" s="31">
        <v>112357</v>
      </c>
      <c r="D22" s="31">
        <v>437700</v>
      </c>
    </row>
    <row r="23" spans="1:4" x14ac:dyDescent="0.3">
      <c r="A23" s="30">
        <v>46235</v>
      </c>
      <c r="B23" s="31">
        <v>47400</v>
      </c>
      <c r="C23" s="31">
        <v>79110</v>
      </c>
      <c r="D23" s="31">
        <v>378300</v>
      </c>
    </row>
    <row r="24" spans="1:4" x14ac:dyDescent="0.3">
      <c r="A24" s="30">
        <v>46266</v>
      </c>
      <c r="B24" s="31">
        <v>52631</v>
      </c>
      <c r="C24" s="31">
        <v>69773</v>
      </c>
      <c r="D24" s="31">
        <v>378500</v>
      </c>
    </row>
    <row r="25" spans="1:4" x14ac:dyDescent="0.3">
      <c r="A25" s="30">
        <v>46296</v>
      </c>
      <c r="B25" s="31"/>
      <c r="C25" s="31"/>
      <c r="D25" s="31"/>
    </row>
    <row r="26" spans="1:4" x14ac:dyDescent="0.3">
      <c r="A26" s="30">
        <v>46327</v>
      </c>
      <c r="B26" s="31"/>
      <c r="C26" s="31"/>
      <c r="D26" s="31"/>
    </row>
    <row r="27" spans="1:4" x14ac:dyDescent="0.3">
      <c r="A27" s="30">
        <v>46357</v>
      </c>
      <c r="B27" s="31"/>
      <c r="C27" s="31"/>
      <c r="D27" s="31"/>
    </row>
    <row r="28" spans="1:4" x14ac:dyDescent="0.3">
      <c r="A28" s="30">
        <v>46388</v>
      </c>
      <c r="B28" s="31"/>
      <c r="C28" s="31"/>
      <c r="D28" s="31"/>
    </row>
    <row r="29" spans="1:4" x14ac:dyDescent="0.3">
      <c r="A29" s="30">
        <v>46419</v>
      </c>
      <c r="B29" s="31"/>
      <c r="C29" s="31"/>
      <c r="D29" s="31"/>
    </row>
    <row r="30" spans="1:4" x14ac:dyDescent="0.3">
      <c r="A30" s="30">
        <v>46447</v>
      </c>
      <c r="B30" s="31"/>
      <c r="C30" s="31"/>
      <c r="D30" s="31"/>
    </row>
    <row r="31" spans="1:4" x14ac:dyDescent="0.3">
      <c r="A31" s="30">
        <v>46478</v>
      </c>
      <c r="B31" s="31"/>
      <c r="C31" s="31"/>
      <c r="D31" s="31"/>
    </row>
    <row r="32" spans="1:4" x14ac:dyDescent="0.3">
      <c r="A32" s="30">
        <v>46508</v>
      </c>
      <c r="B32" s="31"/>
      <c r="C32" s="31"/>
      <c r="D32" s="31"/>
    </row>
    <row r="33" spans="1:4" x14ac:dyDescent="0.3">
      <c r="A33" s="30">
        <v>46539</v>
      </c>
      <c r="B33" s="31"/>
      <c r="C33" s="31"/>
      <c r="D33" s="31"/>
    </row>
    <row r="34" spans="1:4" x14ac:dyDescent="0.3">
      <c r="A34" s="30">
        <v>46569</v>
      </c>
      <c r="B34" s="31"/>
      <c r="C34" s="31"/>
      <c r="D34" s="31"/>
    </row>
    <row r="35" spans="1:4" x14ac:dyDescent="0.3">
      <c r="A35" s="30">
        <v>46600</v>
      </c>
      <c r="B35" s="31"/>
      <c r="C35" s="31"/>
      <c r="D35" s="31"/>
    </row>
    <row r="36" spans="1:4" x14ac:dyDescent="0.3">
      <c r="A36" s="30">
        <v>46631</v>
      </c>
      <c r="B36" s="31"/>
      <c r="C36" s="31"/>
      <c r="D36" s="31"/>
    </row>
    <row r="37" spans="1:4" x14ac:dyDescent="0.3">
      <c r="A37" s="30">
        <v>46661</v>
      </c>
      <c r="B37" s="31"/>
      <c r="C37" s="31"/>
      <c r="D37" s="31"/>
    </row>
    <row r="38" spans="1:4" x14ac:dyDescent="0.3">
      <c r="A38" s="30">
        <v>46692</v>
      </c>
      <c r="B38" s="31"/>
      <c r="C38" s="31"/>
      <c r="D38" s="31"/>
    </row>
    <row r="39" spans="1:4" x14ac:dyDescent="0.3">
      <c r="A39" s="30">
        <v>46722</v>
      </c>
      <c r="B39" s="31"/>
      <c r="C39" s="31"/>
      <c r="D39" s="31"/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FB4"/>
  </sheetPr>
  <dimension ref="A1:F30"/>
  <sheetViews>
    <sheetView workbookViewId="0"/>
  </sheetViews>
  <sheetFormatPr baseColWidth="10" defaultColWidth="8.88671875" defaultRowHeight="14.4" x14ac:dyDescent="0.3"/>
  <cols>
    <col min="1" max="1" width="44" customWidth="1"/>
    <col min="2" max="2" width="30" customWidth="1"/>
    <col min="3" max="3" width="26" customWidth="1"/>
    <col min="4" max="4" width="80" customWidth="1"/>
  </cols>
  <sheetData>
    <row r="1" spans="1:6" ht="17.399999999999999" x14ac:dyDescent="0.3">
      <c r="A1" s="32" t="s">
        <v>1036</v>
      </c>
    </row>
    <row r="2" spans="1:6" x14ac:dyDescent="0.3">
      <c r="A2" s="101" t="s">
        <v>1037</v>
      </c>
      <c r="B2" s="65"/>
      <c r="C2" s="65"/>
      <c r="D2" s="65"/>
      <c r="E2" s="65"/>
      <c r="F2" s="65"/>
    </row>
    <row r="4" spans="1:6" x14ac:dyDescent="0.3">
      <c r="A4" s="33" t="s">
        <v>1038</v>
      </c>
      <c r="B4" s="34" t="s">
        <v>1039</v>
      </c>
      <c r="D4" s="35" t="s">
        <v>1040</v>
      </c>
    </row>
    <row r="5" spans="1:6" x14ac:dyDescent="0.3">
      <c r="A5" s="33" t="s">
        <v>1041</v>
      </c>
      <c r="B5" s="36">
        <v>46023</v>
      </c>
      <c r="D5" s="35" t="s">
        <v>1042</v>
      </c>
    </row>
    <row r="6" spans="1:6" x14ac:dyDescent="0.3">
      <c r="A6" s="33" t="s">
        <v>1043</v>
      </c>
      <c r="B6" s="37">
        <v>0.33</v>
      </c>
      <c r="D6" s="35" t="s">
        <v>1044</v>
      </c>
    </row>
    <row r="7" spans="1:6" x14ac:dyDescent="0.3">
      <c r="A7" s="33" t="s">
        <v>1045</v>
      </c>
      <c r="B7" s="37">
        <v>0.2</v>
      </c>
      <c r="D7" s="35" t="s">
        <v>1046</v>
      </c>
    </row>
    <row r="8" spans="1:6" x14ac:dyDescent="0.3">
      <c r="A8" s="33" t="s">
        <v>1047</v>
      </c>
      <c r="B8" s="37">
        <v>0.05</v>
      </c>
      <c r="D8" s="35" t="s">
        <v>1048</v>
      </c>
    </row>
    <row r="9" spans="1:6" x14ac:dyDescent="0.3">
      <c r="A9" s="33" t="s">
        <v>1049</v>
      </c>
      <c r="B9" s="37">
        <v>0.01</v>
      </c>
      <c r="D9" s="35" t="s">
        <v>1050</v>
      </c>
    </row>
    <row r="10" spans="1:6" x14ac:dyDescent="0.3">
      <c r="A10" s="33" t="s">
        <v>1051</v>
      </c>
      <c r="B10" s="31">
        <v>60000</v>
      </c>
      <c r="D10" s="35" t="s">
        <v>1052</v>
      </c>
    </row>
    <row r="11" spans="1:6" x14ac:dyDescent="0.3">
      <c r="A11" s="33" t="s">
        <v>1053</v>
      </c>
      <c r="B11" s="38">
        <v>45</v>
      </c>
      <c r="D11" s="35" t="s">
        <v>1054</v>
      </c>
    </row>
    <row r="12" spans="1:6" x14ac:dyDescent="0.3">
      <c r="A12" s="33" t="s">
        <v>1055</v>
      </c>
      <c r="B12" s="38">
        <v>10</v>
      </c>
      <c r="D12" s="35"/>
    </row>
    <row r="14" spans="1:6" ht="15.6" x14ac:dyDescent="0.3">
      <c r="A14" s="39" t="s">
        <v>1056</v>
      </c>
    </row>
    <row r="15" spans="1:6" x14ac:dyDescent="0.3">
      <c r="A15" s="29" t="s">
        <v>53</v>
      </c>
      <c r="B15" s="29" t="s">
        <v>1057</v>
      </c>
      <c r="C15" s="29" t="s">
        <v>1058</v>
      </c>
    </row>
    <row r="16" spans="1:6" x14ac:dyDescent="0.3">
      <c r="A16" s="30">
        <f>EDATE(P_debut,0)</f>
        <v>46023</v>
      </c>
      <c r="B16" s="31">
        <v>163000</v>
      </c>
      <c r="C16" s="31">
        <v>51500</v>
      </c>
    </row>
    <row r="17" spans="1:3" x14ac:dyDescent="0.3">
      <c r="A17" s="30">
        <f>EDATE(P_debut,1)</f>
        <v>46054</v>
      </c>
      <c r="B17" s="31">
        <v>179000</v>
      </c>
      <c r="C17" s="31">
        <v>51500</v>
      </c>
    </row>
    <row r="18" spans="1:3" x14ac:dyDescent="0.3">
      <c r="A18" s="30">
        <f>EDATE(P_debut,2)</f>
        <v>46082</v>
      </c>
      <c r="B18" s="31">
        <v>202000</v>
      </c>
      <c r="C18" s="31">
        <v>51500</v>
      </c>
    </row>
    <row r="19" spans="1:3" x14ac:dyDescent="0.3">
      <c r="A19" s="30">
        <f>EDATE(P_debut,3)</f>
        <v>46113</v>
      </c>
      <c r="B19" s="31">
        <v>211000</v>
      </c>
      <c r="C19" s="31">
        <v>51500</v>
      </c>
    </row>
    <row r="20" spans="1:3" x14ac:dyDescent="0.3">
      <c r="A20" s="30">
        <f>EDATE(P_debut,4)</f>
        <v>46143</v>
      </c>
      <c r="B20" s="31">
        <v>219000</v>
      </c>
      <c r="C20" s="31">
        <v>51500</v>
      </c>
    </row>
    <row r="21" spans="1:3" x14ac:dyDescent="0.3">
      <c r="A21" s="30">
        <f>EDATE(P_debut,5)</f>
        <v>46174</v>
      </c>
      <c r="B21" s="31">
        <v>210000</v>
      </c>
      <c r="C21" s="31">
        <v>51500</v>
      </c>
    </row>
    <row r="22" spans="1:3" x14ac:dyDescent="0.3">
      <c r="A22" s="30">
        <f>EDATE(P_debut,6)</f>
        <v>46204</v>
      </c>
      <c r="B22" s="31">
        <v>186000</v>
      </c>
      <c r="C22" s="31">
        <v>51500</v>
      </c>
    </row>
    <row r="23" spans="1:3" x14ac:dyDescent="0.3">
      <c r="A23" s="30">
        <f>EDATE(P_debut,7)</f>
        <v>46235</v>
      </c>
      <c r="B23" s="31">
        <v>121000</v>
      </c>
      <c r="C23" s="31">
        <v>47000</v>
      </c>
    </row>
    <row r="24" spans="1:3" x14ac:dyDescent="0.3">
      <c r="A24" s="30">
        <f>EDATE(P_debut,8)</f>
        <v>46266</v>
      </c>
      <c r="B24" s="31">
        <v>207000</v>
      </c>
      <c r="C24" s="31">
        <v>51500</v>
      </c>
    </row>
    <row r="25" spans="1:3" x14ac:dyDescent="0.3">
      <c r="A25" s="30">
        <f>EDATE(P_debut,9)</f>
        <v>46296</v>
      </c>
      <c r="B25" s="31">
        <v>225000</v>
      </c>
      <c r="C25" s="31">
        <v>51500</v>
      </c>
    </row>
    <row r="26" spans="1:3" x14ac:dyDescent="0.3">
      <c r="A26" s="30">
        <f>EDATE(P_debut,10)</f>
        <v>46327</v>
      </c>
      <c r="B26" s="31">
        <v>201000</v>
      </c>
      <c r="C26" s="31">
        <v>51500</v>
      </c>
    </row>
    <row r="27" spans="1:3" x14ac:dyDescent="0.3">
      <c r="A27" s="30">
        <f>EDATE(P_debut,11)</f>
        <v>46357</v>
      </c>
      <c r="B27" s="31">
        <v>183000</v>
      </c>
      <c r="C27" s="31">
        <v>56000</v>
      </c>
    </row>
    <row r="28" spans="1:3" x14ac:dyDescent="0.3">
      <c r="A28" s="33" t="s">
        <v>1059</v>
      </c>
      <c r="B28" s="40">
        <f>SUM(B16:B27)</f>
        <v>2307000</v>
      </c>
      <c r="C28" s="40">
        <f>SUM(C16:C27)</f>
        <v>618000</v>
      </c>
    </row>
    <row r="30" spans="1:3" x14ac:dyDescent="0.3">
      <c r="A30" s="5" t="s">
        <v>1060</v>
      </c>
    </row>
  </sheetData>
  <mergeCells count="1">
    <mergeCell ref="A2:F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FB4"/>
  </sheetPr>
  <dimension ref="A1:F84"/>
  <sheetViews>
    <sheetView workbookViewId="0"/>
  </sheetViews>
  <sheetFormatPr baseColWidth="10" defaultColWidth="8.88671875" defaultRowHeight="14.4" x14ac:dyDescent="0.3"/>
  <cols>
    <col min="1" max="1" width="22" customWidth="1"/>
    <col min="2" max="2" width="3" customWidth="1"/>
    <col min="3" max="3" width="24" customWidth="1"/>
    <col min="4" max="4" width="3" customWidth="1"/>
    <col min="5" max="5" width="50" customWidth="1"/>
    <col min="6" max="6" width="8" customWidth="1"/>
  </cols>
  <sheetData>
    <row r="1" spans="1:6" ht="17.399999999999999" x14ac:dyDescent="0.3">
      <c r="A1" s="32" t="s">
        <v>1061</v>
      </c>
    </row>
    <row r="2" spans="1:6" x14ac:dyDescent="0.3">
      <c r="A2" s="101" t="s">
        <v>1062</v>
      </c>
      <c r="B2" s="65"/>
      <c r="C2" s="65"/>
      <c r="D2" s="65"/>
    </row>
    <row r="4" spans="1:6" x14ac:dyDescent="0.3">
      <c r="A4" s="41" t="s">
        <v>1063</v>
      </c>
      <c r="C4" s="41" t="s">
        <v>1064</v>
      </c>
      <c r="E4" s="33" t="s">
        <v>1065</v>
      </c>
    </row>
    <row r="5" spans="1:6" x14ac:dyDescent="0.3">
      <c r="A5" s="34" t="s">
        <v>56</v>
      </c>
      <c r="C5" s="34" t="s">
        <v>64</v>
      </c>
      <c r="E5" s="28" t="s">
        <v>1066</v>
      </c>
      <c r="F5" s="42">
        <f>SUMPRODUCT((V_Client&lt;&gt;"")*(COUNTIF(L_Clients,V_Client)=0))</f>
        <v>0</v>
      </c>
    </row>
    <row r="6" spans="1:6" x14ac:dyDescent="0.3">
      <c r="A6" s="34" t="s">
        <v>80</v>
      </c>
      <c r="C6" s="34" t="s">
        <v>57</v>
      </c>
      <c r="E6" s="28" t="s">
        <v>1067</v>
      </c>
      <c r="F6" s="42">
        <f>SUMPRODUCT((V_Famille&lt;&gt;"")*(COUNTIF(L_Familles,V_Famille)=0))</f>
        <v>0</v>
      </c>
    </row>
    <row r="7" spans="1:6" x14ac:dyDescent="0.3">
      <c r="A7" s="34" t="s">
        <v>115</v>
      </c>
      <c r="C7" s="34" t="s">
        <v>71</v>
      </c>
    </row>
    <row r="8" spans="1:6" x14ac:dyDescent="0.3">
      <c r="A8" s="34" t="s">
        <v>73</v>
      </c>
      <c r="C8" s="34" t="s">
        <v>59</v>
      </c>
    </row>
    <row r="9" spans="1:6" x14ac:dyDescent="0.3">
      <c r="A9" s="34" t="s">
        <v>66</v>
      </c>
      <c r="C9" s="34"/>
    </row>
    <row r="10" spans="1:6" x14ac:dyDescent="0.3">
      <c r="A10" s="34" t="s">
        <v>76</v>
      </c>
      <c r="C10" s="34"/>
    </row>
    <row r="11" spans="1:6" x14ac:dyDescent="0.3">
      <c r="A11" s="34" t="s">
        <v>108</v>
      </c>
      <c r="C11" s="34"/>
    </row>
    <row r="12" spans="1:6" x14ac:dyDescent="0.3">
      <c r="A12" s="34" t="s">
        <v>90</v>
      </c>
      <c r="C12" s="34"/>
    </row>
    <row r="13" spans="1:6" x14ac:dyDescent="0.3">
      <c r="A13" s="34" t="s">
        <v>63</v>
      </c>
      <c r="C13" s="34"/>
    </row>
    <row r="14" spans="1:6" x14ac:dyDescent="0.3">
      <c r="A14" s="34" t="s">
        <v>105</v>
      </c>
      <c r="C14" s="34"/>
    </row>
    <row r="15" spans="1:6" x14ac:dyDescent="0.3">
      <c r="A15" s="34" t="s">
        <v>128</v>
      </c>
      <c r="C15" s="34"/>
    </row>
    <row r="16" spans="1:6" x14ac:dyDescent="0.3">
      <c r="A16" s="34" t="s">
        <v>68</v>
      </c>
      <c r="C16" s="34"/>
    </row>
    <row r="17" spans="1:1" x14ac:dyDescent="0.3">
      <c r="A17" s="34" t="s">
        <v>96</v>
      </c>
    </row>
    <row r="18" spans="1:1" x14ac:dyDescent="0.3">
      <c r="A18" s="34" t="s">
        <v>162</v>
      </c>
    </row>
    <row r="19" spans="1:1" x14ac:dyDescent="0.3">
      <c r="A19" s="34" t="s">
        <v>84</v>
      </c>
    </row>
    <row r="20" spans="1:1" x14ac:dyDescent="0.3">
      <c r="A20" s="34" t="s">
        <v>92</v>
      </c>
    </row>
    <row r="21" spans="1:1" x14ac:dyDescent="0.3">
      <c r="A21" s="34" t="s">
        <v>175</v>
      </c>
    </row>
    <row r="22" spans="1:1" x14ac:dyDescent="0.3">
      <c r="A22" s="34" t="s">
        <v>208</v>
      </c>
    </row>
    <row r="23" spans="1:1" x14ac:dyDescent="0.3">
      <c r="A23" s="34" t="s">
        <v>61</v>
      </c>
    </row>
    <row r="24" spans="1:1" x14ac:dyDescent="0.3">
      <c r="A24" s="34" t="s">
        <v>252</v>
      </c>
    </row>
    <row r="25" spans="1:1" x14ac:dyDescent="0.3">
      <c r="A25" s="34" t="s">
        <v>292</v>
      </c>
    </row>
    <row r="26" spans="1:1" x14ac:dyDescent="0.3">
      <c r="A26" s="34" t="s">
        <v>78</v>
      </c>
    </row>
    <row r="27" spans="1:1" x14ac:dyDescent="0.3">
      <c r="A27" s="34" t="s">
        <v>166</v>
      </c>
    </row>
    <row r="28" spans="1:1" x14ac:dyDescent="0.3">
      <c r="A28" s="34" t="s">
        <v>410</v>
      </c>
    </row>
    <row r="29" spans="1:1" x14ac:dyDescent="0.3">
      <c r="A29" s="34" t="s">
        <v>139</v>
      </c>
    </row>
    <row r="30" spans="1:1" x14ac:dyDescent="0.3">
      <c r="A30" s="34" t="s">
        <v>244</v>
      </c>
    </row>
    <row r="31" spans="1:1" x14ac:dyDescent="0.3">
      <c r="A31" s="34" t="s">
        <v>87</v>
      </c>
    </row>
    <row r="32" spans="1:1" x14ac:dyDescent="0.3">
      <c r="A32" s="34" t="s">
        <v>123</v>
      </c>
    </row>
    <row r="33" spans="1:1" x14ac:dyDescent="0.3">
      <c r="A33" s="34" t="s">
        <v>158</v>
      </c>
    </row>
    <row r="34" spans="1:1" x14ac:dyDescent="0.3">
      <c r="A34" s="34" t="s">
        <v>173</v>
      </c>
    </row>
    <row r="35" spans="1:1" x14ac:dyDescent="0.3">
      <c r="A35" s="34" t="s">
        <v>103</v>
      </c>
    </row>
    <row r="36" spans="1:1" x14ac:dyDescent="0.3">
      <c r="A36" s="34" t="s">
        <v>121</v>
      </c>
    </row>
    <row r="37" spans="1:1" x14ac:dyDescent="0.3">
      <c r="A37" s="34" t="s">
        <v>100</v>
      </c>
    </row>
    <row r="38" spans="1:1" x14ac:dyDescent="0.3">
      <c r="A38" s="34" t="s">
        <v>94</v>
      </c>
    </row>
    <row r="39" spans="1:1" x14ac:dyDescent="0.3">
      <c r="A39" s="34" t="s">
        <v>354</v>
      </c>
    </row>
    <row r="40" spans="1:1" x14ac:dyDescent="0.3">
      <c r="A40" s="34" t="s">
        <v>152</v>
      </c>
    </row>
    <row r="41" spans="1:1" x14ac:dyDescent="0.3">
      <c r="A41" s="34" t="s">
        <v>70</v>
      </c>
    </row>
    <row r="42" spans="1:1" x14ac:dyDescent="0.3">
      <c r="A42" s="34" t="s">
        <v>177</v>
      </c>
    </row>
    <row r="43" spans="1:1" x14ac:dyDescent="0.3">
      <c r="A43" s="34" t="s">
        <v>247</v>
      </c>
    </row>
    <row r="44" spans="1:1" x14ac:dyDescent="0.3">
      <c r="A44" s="34" t="s">
        <v>348</v>
      </c>
    </row>
    <row r="45" spans="1:1" x14ac:dyDescent="0.3">
      <c r="A45" s="34"/>
    </row>
    <row r="46" spans="1:1" x14ac:dyDescent="0.3">
      <c r="A46" s="34"/>
    </row>
    <row r="47" spans="1:1" x14ac:dyDescent="0.3">
      <c r="A47" s="34"/>
    </row>
    <row r="48" spans="1:1" x14ac:dyDescent="0.3">
      <c r="A48" s="34"/>
    </row>
    <row r="49" spans="1:1" x14ac:dyDescent="0.3">
      <c r="A49" s="34"/>
    </row>
    <row r="50" spans="1:1" x14ac:dyDescent="0.3">
      <c r="A50" s="34"/>
    </row>
    <row r="51" spans="1:1" x14ac:dyDescent="0.3">
      <c r="A51" s="34"/>
    </row>
    <row r="52" spans="1:1" x14ac:dyDescent="0.3">
      <c r="A52" s="34"/>
    </row>
    <row r="53" spans="1:1" x14ac:dyDescent="0.3">
      <c r="A53" s="34"/>
    </row>
    <row r="54" spans="1:1" x14ac:dyDescent="0.3">
      <c r="A54" s="34"/>
    </row>
    <row r="55" spans="1:1" x14ac:dyDescent="0.3">
      <c r="A55" s="34"/>
    </row>
    <row r="56" spans="1:1" x14ac:dyDescent="0.3">
      <c r="A56" s="34"/>
    </row>
    <row r="57" spans="1:1" x14ac:dyDescent="0.3">
      <c r="A57" s="34"/>
    </row>
    <row r="58" spans="1:1" x14ac:dyDescent="0.3">
      <c r="A58" s="34"/>
    </row>
    <row r="59" spans="1:1" x14ac:dyDescent="0.3">
      <c r="A59" s="34"/>
    </row>
    <row r="60" spans="1:1" x14ac:dyDescent="0.3">
      <c r="A60" s="34"/>
    </row>
    <row r="61" spans="1:1" x14ac:dyDescent="0.3">
      <c r="A61" s="34"/>
    </row>
    <row r="62" spans="1:1" x14ac:dyDescent="0.3">
      <c r="A62" s="34"/>
    </row>
    <row r="63" spans="1:1" x14ac:dyDescent="0.3">
      <c r="A63" s="34"/>
    </row>
    <row r="64" spans="1:1" x14ac:dyDescent="0.3">
      <c r="A64" s="34"/>
    </row>
    <row r="65" spans="1:1" x14ac:dyDescent="0.3">
      <c r="A65" s="34"/>
    </row>
    <row r="66" spans="1:1" x14ac:dyDescent="0.3">
      <c r="A66" s="34"/>
    </row>
    <row r="67" spans="1:1" x14ac:dyDescent="0.3">
      <c r="A67" s="34"/>
    </row>
    <row r="68" spans="1:1" x14ac:dyDescent="0.3">
      <c r="A68" s="34"/>
    </row>
    <row r="69" spans="1:1" x14ac:dyDescent="0.3">
      <c r="A69" s="34"/>
    </row>
    <row r="70" spans="1:1" x14ac:dyDescent="0.3">
      <c r="A70" s="34"/>
    </row>
    <row r="71" spans="1:1" x14ac:dyDescent="0.3">
      <c r="A71" s="34"/>
    </row>
    <row r="72" spans="1:1" x14ac:dyDescent="0.3">
      <c r="A72" s="34"/>
    </row>
    <row r="73" spans="1:1" x14ac:dyDescent="0.3">
      <c r="A73" s="34"/>
    </row>
    <row r="74" spans="1:1" x14ac:dyDescent="0.3">
      <c r="A74" s="34"/>
    </row>
    <row r="75" spans="1:1" x14ac:dyDescent="0.3">
      <c r="A75" s="34"/>
    </row>
    <row r="76" spans="1:1" x14ac:dyDescent="0.3">
      <c r="A76" s="34"/>
    </row>
    <row r="77" spans="1:1" x14ac:dyDescent="0.3">
      <c r="A77" s="34"/>
    </row>
    <row r="78" spans="1:1" x14ac:dyDescent="0.3">
      <c r="A78" s="34"/>
    </row>
    <row r="79" spans="1:1" x14ac:dyDescent="0.3">
      <c r="A79" s="34"/>
    </row>
    <row r="80" spans="1:1" x14ac:dyDescent="0.3">
      <c r="A80" s="34"/>
    </row>
    <row r="81" spans="1:1" x14ac:dyDescent="0.3">
      <c r="A81" s="34"/>
    </row>
    <row r="82" spans="1:1" x14ac:dyDescent="0.3">
      <c r="A82" s="34"/>
    </row>
    <row r="83" spans="1:1" x14ac:dyDescent="0.3">
      <c r="A83" s="34"/>
    </row>
    <row r="84" spans="1:1" x14ac:dyDescent="0.3">
      <c r="A84" s="34"/>
    </row>
  </sheetData>
  <mergeCells count="1">
    <mergeCell ref="A2:D2"/>
  </mergeCells>
  <conditionalFormatting sqref="F5:F6">
    <cfRule type="expression" dxfId="0" priority="1">
      <formula>F5&gt;0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AA5A0"/>
  </sheetPr>
  <dimension ref="A1:W128"/>
  <sheetViews>
    <sheetView zoomScale="90" workbookViewId="0"/>
  </sheetViews>
  <sheetFormatPr baseColWidth="10" defaultColWidth="8.88671875" defaultRowHeight="14.4" x14ac:dyDescent="0.3"/>
  <cols>
    <col min="1" max="1" width="30" customWidth="1"/>
    <col min="2" max="2" width="13" customWidth="1"/>
    <col min="3" max="3" width="11" customWidth="1"/>
    <col min="4" max="4" width="30" customWidth="1"/>
    <col min="5" max="5" width="13" customWidth="1"/>
    <col min="6" max="6" width="16" customWidth="1"/>
    <col min="7" max="8" width="14" customWidth="1"/>
    <col min="9" max="9" width="12" customWidth="1"/>
    <col min="10" max="10" width="14" customWidth="1"/>
    <col min="11" max="23" width="11" customWidth="1"/>
  </cols>
  <sheetData>
    <row r="1" spans="1:23" ht="15.6" x14ac:dyDescent="0.3">
      <c r="A1" s="43" t="s">
        <v>1068</v>
      </c>
    </row>
    <row r="3" spans="1:23" x14ac:dyDescent="0.3">
      <c r="A3" s="33" t="s">
        <v>1069</v>
      </c>
      <c r="B3" s="28" t="str">
        <f>'Tableau de bord'!$D$4</f>
        <v>sept. 2026</v>
      </c>
    </row>
    <row r="4" spans="1:23" x14ac:dyDescent="0.3">
      <c r="A4" s="33" t="s">
        <v>1070</v>
      </c>
      <c r="B4" s="28">
        <f>IFERROR(MATCH(B3,$C$10:$C$21,0),IFERROR(LOOKUP(2,1/($E$10:$E$21=1),$A$10:$A$21),1))</f>
        <v>9</v>
      </c>
    </row>
    <row r="5" spans="1:23" x14ac:dyDescent="0.3">
      <c r="A5" s="33" t="s">
        <v>1071</v>
      </c>
      <c r="B5" s="44">
        <f>INDEX($B$10:$B$21,$B$4)</f>
        <v>46266</v>
      </c>
    </row>
    <row r="6" spans="1:23" x14ac:dyDescent="0.3">
      <c r="A6" s="33" t="s">
        <v>1041</v>
      </c>
      <c r="B6" s="44">
        <f>P_debut</f>
        <v>46023</v>
      </c>
    </row>
    <row r="9" spans="1:23" ht="40.049999999999997" customHeight="1" x14ac:dyDescent="0.3">
      <c r="A9" s="45" t="s">
        <v>1072</v>
      </c>
      <c r="B9" s="45" t="s">
        <v>53</v>
      </c>
      <c r="C9" s="45" t="s">
        <v>1073</v>
      </c>
      <c r="D9" s="45" t="s">
        <v>1074</v>
      </c>
      <c r="E9" s="45" t="s">
        <v>1075</v>
      </c>
      <c r="F9" s="45" t="s">
        <v>1076</v>
      </c>
      <c r="G9" s="45" t="s">
        <v>1077</v>
      </c>
      <c r="H9" s="45" t="s">
        <v>1078</v>
      </c>
      <c r="I9" s="45" t="s">
        <v>1079</v>
      </c>
      <c r="J9" s="45" t="s">
        <v>1080</v>
      </c>
      <c r="K9" s="45" t="s">
        <v>1081</v>
      </c>
      <c r="L9" s="45" t="s">
        <v>1082</v>
      </c>
      <c r="M9" s="45" t="s">
        <v>1083</v>
      </c>
      <c r="N9" s="45" t="s">
        <v>1084</v>
      </c>
      <c r="O9" s="45" t="s">
        <v>1085</v>
      </c>
      <c r="P9" s="45" t="s">
        <v>1086</v>
      </c>
      <c r="Q9" s="45" t="s">
        <v>1087</v>
      </c>
      <c r="R9" s="45" t="s">
        <v>24</v>
      </c>
      <c r="S9" s="45" t="s">
        <v>1088</v>
      </c>
      <c r="T9" s="45" t="s">
        <v>1089</v>
      </c>
      <c r="U9" s="45" t="s">
        <v>1090</v>
      </c>
      <c r="V9" s="45" t="s">
        <v>1091</v>
      </c>
      <c r="W9" s="45" t="s">
        <v>1092</v>
      </c>
    </row>
    <row r="10" spans="1:23" x14ac:dyDescent="0.3">
      <c r="A10" s="46">
        <v>1</v>
      </c>
      <c r="B10" s="47">
        <f t="shared" ref="B10:B21" si="0">EDATE(P_debut,A10-1)</f>
        <v>46023</v>
      </c>
      <c r="C10" s="46" t="str">
        <f t="shared" ref="C10:C21" si="1">CHOOSE(MONTH(B10),"janv.","févr.","mars","avr.","mai","juin","juil.","août","sept.","oct.","nov.","déc.")&amp;" "&amp;YEAR(B10)</f>
        <v>janv. 2026</v>
      </c>
      <c r="D10" s="47">
        <f t="shared" ref="D10:D21" si="2">EDATE(B10,-12)</f>
        <v>45658</v>
      </c>
      <c r="E10" s="46">
        <f t="shared" ref="E10:E21" si="3">IF(COUNTIFS(V_Mois,B10)&gt;0,1,0)</f>
        <v>1</v>
      </c>
      <c r="F10" s="48">
        <f t="shared" ref="F10:F21" si="4">SUMIFS(V_CA,V_Mois,B10)</f>
        <v>167529.90999999997</v>
      </c>
      <c r="G10" s="48">
        <f t="shared" ref="G10:G21" si="5">SUMIFS(V_CA,V_Mois,D10)</f>
        <v>151164.65</v>
      </c>
      <c r="H10" s="48">
        <f t="shared" ref="H10:H21" si="6">INDEX(B_CA,A10)</f>
        <v>163000</v>
      </c>
      <c r="I10" s="48">
        <f t="shared" ref="I10:I21" si="7">SUMIFS(V_Cout,V_Mois,B10)</f>
        <v>109784.00999999998</v>
      </c>
      <c r="J10" s="48">
        <f t="shared" ref="J10:J21" si="8">F10-I10</f>
        <v>57745.899999999994</v>
      </c>
      <c r="K10" s="49">
        <f t="shared" ref="K10:K21" si="9">IF(F10=0,0,J10/F10)</f>
        <v>0.34469009145889234</v>
      </c>
      <c r="L10" s="49">
        <f t="shared" ref="L10:L21" si="10">P_taux</f>
        <v>0.33</v>
      </c>
      <c r="M10" s="48">
        <f t="shared" ref="M10:M21" si="11">G10-SUMIFS(V_Cout,V_Mois,D10)</f>
        <v>51407.270000000004</v>
      </c>
      <c r="N10" s="48">
        <f t="shared" ref="N10:N21" si="12">SUMIFS(M_Charges,M_Mois,B10)</f>
        <v>50943</v>
      </c>
      <c r="O10" s="48">
        <f t="shared" ref="O10:O21" si="13">INDEX(B_Charges,A10)</f>
        <v>51500</v>
      </c>
      <c r="P10" s="48">
        <f t="shared" ref="P10:P21" si="14">IF(E10=1,J10-N10,0)</f>
        <v>6802.8999999999942</v>
      </c>
      <c r="Q10" s="48">
        <f t="shared" ref="Q10:Q21" si="15">H10*L10-O10</f>
        <v>2290</v>
      </c>
      <c r="R10" s="48">
        <f t="shared" ref="R10:R21" si="16">SUMIFS(M_Treso,M_Mois,B10)</f>
        <v>167124</v>
      </c>
      <c r="S10" s="48">
        <f t="shared" ref="S10:S21" si="17">SUMIFS(M_Creances,M_Mois,B10)</f>
        <v>320900</v>
      </c>
      <c r="T10" s="48">
        <f t="shared" ref="T10:T21" si="18">SUMIFS(V_CA,V_Mois,"&gt;="&amp;EDATE(B10,-2),V_Mois,"&lt;="&amp;B10)*(1+P_tva)</f>
        <v>627803.98800000013</v>
      </c>
      <c r="U10" s="50">
        <f t="shared" ref="U10:U21" si="19">IF(OR(E10=0,T10=0),0,S10/T10*90)</f>
        <v>46.003212072619064</v>
      </c>
      <c r="V10" s="48">
        <f t="shared" ref="V10:V21" si="20">P_seuil_treso</f>
        <v>60000</v>
      </c>
      <c r="W10" s="50">
        <f t="shared" ref="W10:W21" si="21">P_obj_dso</f>
        <v>45</v>
      </c>
    </row>
    <row r="11" spans="1:23" x14ac:dyDescent="0.3">
      <c r="A11" s="46">
        <v>2</v>
      </c>
      <c r="B11" s="47">
        <f t="shared" si="0"/>
        <v>46054</v>
      </c>
      <c r="C11" s="46" t="str">
        <f t="shared" si="1"/>
        <v>févr. 2026</v>
      </c>
      <c r="D11" s="47">
        <f t="shared" si="2"/>
        <v>45689</v>
      </c>
      <c r="E11" s="46">
        <f t="shared" si="3"/>
        <v>1</v>
      </c>
      <c r="F11" s="48">
        <f t="shared" si="4"/>
        <v>180547.36000000002</v>
      </c>
      <c r="G11" s="48">
        <f t="shared" si="5"/>
        <v>165455.80000000002</v>
      </c>
      <c r="H11" s="48">
        <f t="shared" si="6"/>
        <v>179000</v>
      </c>
      <c r="I11" s="48">
        <f t="shared" si="7"/>
        <v>118973.13</v>
      </c>
      <c r="J11" s="48">
        <f t="shared" si="8"/>
        <v>61574.23000000001</v>
      </c>
      <c r="K11" s="49">
        <f t="shared" si="9"/>
        <v>0.34104198477341352</v>
      </c>
      <c r="L11" s="49">
        <f t="shared" si="10"/>
        <v>0.33</v>
      </c>
      <c r="M11" s="48">
        <f t="shared" si="11"/>
        <v>56066.110000000044</v>
      </c>
      <c r="N11" s="48">
        <f t="shared" si="12"/>
        <v>50386</v>
      </c>
      <c r="O11" s="48">
        <f t="shared" si="13"/>
        <v>51500</v>
      </c>
      <c r="P11" s="48">
        <f t="shared" si="14"/>
        <v>11188.23000000001</v>
      </c>
      <c r="Q11" s="48">
        <f t="shared" si="15"/>
        <v>7570</v>
      </c>
      <c r="R11" s="48">
        <f t="shared" si="16"/>
        <v>161138</v>
      </c>
      <c r="S11" s="48">
        <f t="shared" si="17"/>
        <v>324600</v>
      </c>
      <c r="T11" s="48">
        <f t="shared" si="18"/>
        <v>621533.97599999991</v>
      </c>
      <c r="U11" s="50">
        <f t="shared" si="19"/>
        <v>47.003061985464171</v>
      </c>
      <c r="V11" s="48">
        <f t="shared" si="20"/>
        <v>60000</v>
      </c>
      <c r="W11" s="50">
        <f t="shared" si="21"/>
        <v>45</v>
      </c>
    </row>
    <row r="12" spans="1:23" x14ac:dyDescent="0.3">
      <c r="A12" s="46">
        <v>3</v>
      </c>
      <c r="B12" s="47">
        <f t="shared" si="0"/>
        <v>46082</v>
      </c>
      <c r="C12" s="46" t="str">
        <f t="shared" si="1"/>
        <v>mars 2026</v>
      </c>
      <c r="D12" s="47">
        <f t="shared" si="2"/>
        <v>45717</v>
      </c>
      <c r="E12" s="46">
        <f t="shared" si="3"/>
        <v>1</v>
      </c>
      <c r="F12" s="48">
        <f t="shared" si="4"/>
        <v>208572.75</v>
      </c>
      <c r="G12" s="48">
        <f t="shared" si="5"/>
        <v>186769.45</v>
      </c>
      <c r="H12" s="48">
        <f t="shared" si="6"/>
        <v>202000</v>
      </c>
      <c r="I12" s="48">
        <f t="shared" si="7"/>
        <v>136539.70999999996</v>
      </c>
      <c r="J12" s="48">
        <f t="shared" si="8"/>
        <v>72033.040000000037</v>
      </c>
      <c r="K12" s="49">
        <f t="shared" si="9"/>
        <v>0.34536170233168062</v>
      </c>
      <c r="L12" s="49">
        <f t="shared" si="10"/>
        <v>0.33</v>
      </c>
      <c r="M12" s="48">
        <f t="shared" si="11"/>
        <v>62889.81</v>
      </c>
      <c r="N12" s="48">
        <f t="shared" si="12"/>
        <v>51590</v>
      </c>
      <c r="O12" s="48">
        <f t="shared" si="13"/>
        <v>51500</v>
      </c>
      <c r="P12" s="48">
        <f t="shared" si="14"/>
        <v>20443.040000000037</v>
      </c>
      <c r="Q12" s="48">
        <f t="shared" si="15"/>
        <v>15160</v>
      </c>
      <c r="R12" s="48">
        <f t="shared" si="16"/>
        <v>150523</v>
      </c>
      <c r="S12" s="48">
        <f t="shared" si="17"/>
        <v>348800</v>
      </c>
      <c r="T12" s="48">
        <f t="shared" si="18"/>
        <v>667980.02399999986</v>
      </c>
      <c r="U12" s="50">
        <f t="shared" si="19"/>
        <v>46.995417336013041</v>
      </c>
      <c r="V12" s="48">
        <f t="shared" si="20"/>
        <v>60000</v>
      </c>
      <c r="W12" s="50">
        <f t="shared" si="21"/>
        <v>45</v>
      </c>
    </row>
    <row r="13" spans="1:23" x14ac:dyDescent="0.3">
      <c r="A13" s="46">
        <v>4</v>
      </c>
      <c r="B13" s="47">
        <f t="shared" si="0"/>
        <v>46113</v>
      </c>
      <c r="C13" s="46" t="str">
        <f t="shared" si="1"/>
        <v>avr. 2026</v>
      </c>
      <c r="D13" s="47">
        <f t="shared" si="2"/>
        <v>45748</v>
      </c>
      <c r="E13" s="46">
        <f t="shared" si="3"/>
        <v>1</v>
      </c>
      <c r="F13" s="48">
        <f t="shared" si="4"/>
        <v>205412.87</v>
      </c>
      <c r="G13" s="48">
        <f t="shared" si="5"/>
        <v>195305.56</v>
      </c>
      <c r="H13" s="48">
        <f t="shared" si="6"/>
        <v>211000</v>
      </c>
      <c r="I13" s="48">
        <f t="shared" si="7"/>
        <v>135139.03</v>
      </c>
      <c r="J13" s="48">
        <f t="shared" si="8"/>
        <v>70273.84</v>
      </c>
      <c r="K13" s="49">
        <f t="shared" si="9"/>
        <v>0.34211020955016108</v>
      </c>
      <c r="L13" s="49">
        <f t="shared" si="10"/>
        <v>0.33</v>
      </c>
      <c r="M13" s="48">
        <f t="shared" si="11"/>
        <v>65930.469999999972</v>
      </c>
      <c r="N13" s="48">
        <f t="shared" si="12"/>
        <v>50496</v>
      </c>
      <c r="O13" s="48">
        <f t="shared" si="13"/>
        <v>51500</v>
      </c>
      <c r="P13" s="48">
        <f t="shared" si="14"/>
        <v>19777.839999999997</v>
      </c>
      <c r="Q13" s="48">
        <f t="shared" si="15"/>
        <v>18130</v>
      </c>
      <c r="R13" s="48">
        <f t="shared" si="16"/>
        <v>150399</v>
      </c>
      <c r="S13" s="48">
        <f t="shared" si="17"/>
        <v>380500</v>
      </c>
      <c r="T13" s="48">
        <f t="shared" si="18"/>
        <v>713439.57600000035</v>
      </c>
      <c r="U13" s="50">
        <f t="shared" si="19"/>
        <v>47.999860327344649</v>
      </c>
      <c r="V13" s="48">
        <f t="shared" si="20"/>
        <v>60000</v>
      </c>
      <c r="W13" s="50">
        <f t="shared" si="21"/>
        <v>45</v>
      </c>
    </row>
    <row r="14" spans="1:23" x14ac:dyDescent="0.3">
      <c r="A14" s="46">
        <v>5</v>
      </c>
      <c r="B14" s="47">
        <f t="shared" si="0"/>
        <v>46143</v>
      </c>
      <c r="C14" s="46" t="str">
        <f t="shared" si="1"/>
        <v>mai 2026</v>
      </c>
      <c r="D14" s="47">
        <f t="shared" si="2"/>
        <v>45778</v>
      </c>
      <c r="E14" s="46">
        <f t="shared" si="3"/>
        <v>1</v>
      </c>
      <c r="F14" s="48">
        <f t="shared" si="4"/>
        <v>221915.86</v>
      </c>
      <c r="G14" s="48">
        <f t="shared" si="5"/>
        <v>202658.15999999997</v>
      </c>
      <c r="H14" s="48">
        <f t="shared" si="6"/>
        <v>219000</v>
      </c>
      <c r="I14" s="48">
        <f t="shared" si="7"/>
        <v>151185.44999999998</v>
      </c>
      <c r="J14" s="48">
        <f t="shared" si="8"/>
        <v>70730.41</v>
      </c>
      <c r="K14" s="49">
        <f t="shared" si="9"/>
        <v>0.31872625057082449</v>
      </c>
      <c r="L14" s="49">
        <f t="shared" si="10"/>
        <v>0.33</v>
      </c>
      <c r="M14" s="48">
        <f t="shared" si="11"/>
        <v>67974.869999999937</v>
      </c>
      <c r="N14" s="48">
        <f t="shared" si="12"/>
        <v>52210</v>
      </c>
      <c r="O14" s="48">
        <f t="shared" si="13"/>
        <v>51500</v>
      </c>
      <c r="P14" s="48">
        <f t="shared" si="14"/>
        <v>18520.410000000003</v>
      </c>
      <c r="Q14" s="48">
        <f t="shared" si="15"/>
        <v>20770</v>
      </c>
      <c r="R14" s="48">
        <f t="shared" si="16"/>
        <v>144459</v>
      </c>
      <c r="S14" s="48">
        <f t="shared" si="17"/>
        <v>423900</v>
      </c>
      <c r="T14" s="48">
        <f t="shared" si="18"/>
        <v>763081.77599999995</v>
      </c>
      <c r="U14" s="50">
        <f t="shared" si="19"/>
        <v>49.995952203162041</v>
      </c>
      <c r="V14" s="48">
        <f t="shared" si="20"/>
        <v>60000</v>
      </c>
      <c r="W14" s="50">
        <f t="shared" si="21"/>
        <v>45</v>
      </c>
    </row>
    <row r="15" spans="1:23" x14ac:dyDescent="0.3">
      <c r="A15" s="46">
        <v>6</v>
      </c>
      <c r="B15" s="47">
        <f t="shared" si="0"/>
        <v>46174</v>
      </c>
      <c r="C15" s="46" t="str">
        <f t="shared" si="1"/>
        <v>juin 2026</v>
      </c>
      <c r="D15" s="47">
        <f t="shared" si="2"/>
        <v>45809</v>
      </c>
      <c r="E15" s="46">
        <f t="shared" si="3"/>
        <v>1</v>
      </c>
      <c r="F15" s="48">
        <f t="shared" si="4"/>
        <v>204192.12000000002</v>
      </c>
      <c r="G15" s="48">
        <f t="shared" si="5"/>
        <v>194571.71999999997</v>
      </c>
      <c r="H15" s="48">
        <f t="shared" si="6"/>
        <v>210000</v>
      </c>
      <c r="I15" s="48">
        <f t="shared" si="7"/>
        <v>138738.49000000002</v>
      </c>
      <c r="J15" s="48">
        <f t="shared" si="8"/>
        <v>65453.630000000005</v>
      </c>
      <c r="K15" s="49">
        <f t="shared" si="9"/>
        <v>0.32054924548508529</v>
      </c>
      <c r="L15" s="49">
        <f t="shared" si="10"/>
        <v>0.33</v>
      </c>
      <c r="M15" s="48">
        <f t="shared" si="11"/>
        <v>65478.099999999962</v>
      </c>
      <c r="N15" s="48">
        <f t="shared" si="12"/>
        <v>51428</v>
      </c>
      <c r="O15" s="48">
        <f t="shared" si="13"/>
        <v>51500</v>
      </c>
      <c r="P15" s="48">
        <f t="shared" si="14"/>
        <v>14025.630000000005</v>
      </c>
      <c r="Q15" s="48">
        <f t="shared" si="15"/>
        <v>17800</v>
      </c>
      <c r="R15" s="48">
        <f t="shared" si="16"/>
        <v>128782</v>
      </c>
      <c r="S15" s="48">
        <f t="shared" si="17"/>
        <v>437900</v>
      </c>
      <c r="T15" s="48">
        <f t="shared" si="18"/>
        <v>757825.02000000014</v>
      </c>
      <c r="U15" s="50">
        <f t="shared" si="19"/>
        <v>52.005408847546356</v>
      </c>
      <c r="V15" s="48">
        <f t="shared" si="20"/>
        <v>60000</v>
      </c>
      <c r="W15" s="50">
        <f t="shared" si="21"/>
        <v>45</v>
      </c>
    </row>
    <row r="16" spans="1:23" x14ac:dyDescent="0.3">
      <c r="A16" s="46">
        <v>7</v>
      </c>
      <c r="B16" s="47">
        <f t="shared" si="0"/>
        <v>46204</v>
      </c>
      <c r="C16" s="46" t="str">
        <f t="shared" si="1"/>
        <v>juil. 2026</v>
      </c>
      <c r="D16" s="47">
        <f t="shared" si="2"/>
        <v>45839</v>
      </c>
      <c r="E16" s="46">
        <f t="shared" si="3"/>
        <v>1</v>
      </c>
      <c r="F16" s="48">
        <f t="shared" si="4"/>
        <v>181747.94</v>
      </c>
      <c r="G16" s="48">
        <f t="shared" si="5"/>
        <v>172006.53999999998</v>
      </c>
      <c r="H16" s="48">
        <f t="shared" si="6"/>
        <v>186000</v>
      </c>
      <c r="I16" s="48">
        <f t="shared" si="7"/>
        <v>123046.28999999994</v>
      </c>
      <c r="J16" s="48">
        <f t="shared" si="8"/>
        <v>58701.650000000067</v>
      </c>
      <c r="K16" s="49">
        <f t="shared" si="9"/>
        <v>0.32298385335206586</v>
      </c>
      <c r="L16" s="49">
        <f t="shared" si="10"/>
        <v>0.33</v>
      </c>
      <c r="M16" s="48">
        <f t="shared" si="11"/>
        <v>57746.61</v>
      </c>
      <c r="N16" s="48">
        <f t="shared" si="12"/>
        <v>52781</v>
      </c>
      <c r="O16" s="48">
        <f t="shared" si="13"/>
        <v>51500</v>
      </c>
      <c r="P16" s="48">
        <f t="shared" si="14"/>
        <v>5920.6500000000669</v>
      </c>
      <c r="Q16" s="48">
        <f t="shared" si="15"/>
        <v>9880</v>
      </c>
      <c r="R16" s="48">
        <f t="shared" si="16"/>
        <v>112357</v>
      </c>
      <c r="S16" s="48">
        <f t="shared" si="17"/>
        <v>437700</v>
      </c>
      <c r="T16" s="48">
        <f t="shared" si="18"/>
        <v>729427.10400000005</v>
      </c>
      <c r="U16" s="50">
        <f t="shared" si="19"/>
        <v>54.005396541996333</v>
      </c>
      <c r="V16" s="48">
        <f t="shared" si="20"/>
        <v>60000</v>
      </c>
      <c r="W16" s="50">
        <f t="shared" si="21"/>
        <v>45</v>
      </c>
    </row>
    <row r="17" spans="1:23" x14ac:dyDescent="0.3">
      <c r="A17" s="46">
        <v>8</v>
      </c>
      <c r="B17" s="47">
        <f t="shared" si="0"/>
        <v>46235</v>
      </c>
      <c r="C17" s="46" t="str">
        <f t="shared" si="1"/>
        <v>août 2026</v>
      </c>
      <c r="D17" s="47">
        <f t="shared" si="2"/>
        <v>45870</v>
      </c>
      <c r="E17" s="46">
        <f t="shared" si="3"/>
        <v>1</v>
      </c>
      <c r="F17" s="48">
        <f t="shared" si="4"/>
        <v>111761.47999999997</v>
      </c>
      <c r="G17" s="48">
        <f t="shared" si="5"/>
        <v>112378.39</v>
      </c>
      <c r="H17" s="48">
        <f t="shared" si="6"/>
        <v>121000</v>
      </c>
      <c r="I17" s="48">
        <f t="shared" si="7"/>
        <v>76100.36</v>
      </c>
      <c r="J17" s="48">
        <f t="shared" si="8"/>
        <v>35661.119999999966</v>
      </c>
      <c r="K17" s="49">
        <f t="shared" si="9"/>
        <v>0.31908238867273392</v>
      </c>
      <c r="L17" s="49">
        <f t="shared" si="10"/>
        <v>0.33</v>
      </c>
      <c r="M17" s="48">
        <f t="shared" si="11"/>
        <v>37598.999999999985</v>
      </c>
      <c r="N17" s="48">
        <f t="shared" si="12"/>
        <v>47400</v>
      </c>
      <c r="O17" s="48">
        <f t="shared" si="13"/>
        <v>47000</v>
      </c>
      <c r="P17" s="48">
        <f t="shared" si="14"/>
        <v>-11738.880000000034</v>
      </c>
      <c r="Q17" s="48">
        <f t="shared" si="15"/>
        <v>-7070</v>
      </c>
      <c r="R17" s="48">
        <f t="shared" si="16"/>
        <v>79110</v>
      </c>
      <c r="S17" s="48">
        <f t="shared" si="17"/>
        <v>378300</v>
      </c>
      <c r="T17" s="48">
        <f t="shared" si="18"/>
        <v>597241.848</v>
      </c>
      <c r="U17" s="50">
        <f t="shared" si="19"/>
        <v>57.007056879912405</v>
      </c>
      <c r="V17" s="48">
        <f t="shared" si="20"/>
        <v>60000</v>
      </c>
      <c r="W17" s="50">
        <f t="shared" si="21"/>
        <v>45</v>
      </c>
    </row>
    <row r="18" spans="1:23" x14ac:dyDescent="0.3">
      <c r="A18" s="46">
        <v>9</v>
      </c>
      <c r="B18" s="47">
        <f t="shared" si="0"/>
        <v>46266</v>
      </c>
      <c r="C18" s="46" t="str">
        <f t="shared" si="1"/>
        <v>sept. 2026</v>
      </c>
      <c r="D18" s="47">
        <f t="shared" si="2"/>
        <v>45901</v>
      </c>
      <c r="E18" s="46">
        <f t="shared" si="3"/>
        <v>1</v>
      </c>
      <c r="F18" s="48">
        <f t="shared" si="4"/>
        <v>195924.78999999998</v>
      </c>
      <c r="G18" s="48">
        <f t="shared" si="5"/>
        <v>191565.63999999996</v>
      </c>
      <c r="H18" s="48">
        <f t="shared" si="6"/>
        <v>207000</v>
      </c>
      <c r="I18" s="48">
        <f t="shared" si="7"/>
        <v>133314.30999999997</v>
      </c>
      <c r="J18" s="48">
        <f t="shared" si="8"/>
        <v>62610.48000000001</v>
      </c>
      <c r="K18" s="49">
        <f t="shared" si="9"/>
        <v>0.31956384896469719</v>
      </c>
      <c r="L18" s="49">
        <f t="shared" si="10"/>
        <v>0.33</v>
      </c>
      <c r="M18" s="48">
        <f t="shared" si="11"/>
        <v>64329.339999999938</v>
      </c>
      <c r="N18" s="48">
        <f t="shared" si="12"/>
        <v>52631</v>
      </c>
      <c r="O18" s="48">
        <f t="shared" si="13"/>
        <v>51500</v>
      </c>
      <c r="P18" s="48">
        <f t="shared" si="14"/>
        <v>9979.4800000000105</v>
      </c>
      <c r="Q18" s="48">
        <f t="shared" si="15"/>
        <v>16810</v>
      </c>
      <c r="R18" s="48">
        <f t="shared" si="16"/>
        <v>69773</v>
      </c>
      <c r="S18" s="48">
        <f t="shared" si="17"/>
        <v>378500</v>
      </c>
      <c r="T18" s="48">
        <f t="shared" si="18"/>
        <v>587321.05199999991</v>
      </c>
      <c r="U18" s="50">
        <f t="shared" si="19"/>
        <v>58.000645275694978</v>
      </c>
      <c r="V18" s="48">
        <f t="shared" si="20"/>
        <v>60000</v>
      </c>
      <c r="W18" s="50">
        <f t="shared" si="21"/>
        <v>45</v>
      </c>
    </row>
    <row r="19" spans="1:23" x14ac:dyDescent="0.3">
      <c r="A19" s="46">
        <v>10</v>
      </c>
      <c r="B19" s="47">
        <f t="shared" si="0"/>
        <v>46296</v>
      </c>
      <c r="C19" s="46" t="str">
        <f t="shared" si="1"/>
        <v>oct. 2026</v>
      </c>
      <c r="D19" s="47">
        <f t="shared" si="2"/>
        <v>45931</v>
      </c>
      <c r="E19" s="46">
        <f t="shared" si="3"/>
        <v>0</v>
      </c>
      <c r="F19" s="48">
        <f t="shared" si="4"/>
        <v>0</v>
      </c>
      <c r="G19" s="48">
        <f t="shared" si="5"/>
        <v>208431.83000000002</v>
      </c>
      <c r="H19" s="48">
        <f t="shared" si="6"/>
        <v>225000</v>
      </c>
      <c r="I19" s="48">
        <f t="shared" si="7"/>
        <v>0</v>
      </c>
      <c r="J19" s="48">
        <f t="shared" si="8"/>
        <v>0</v>
      </c>
      <c r="K19" s="49">
        <f t="shared" si="9"/>
        <v>0</v>
      </c>
      <c r="L19" s="49">
        <f t="shared" si="10"/>
        <v>0.33</v>
      </c>
      <c r="M19" s="48">
        <f t="shared" si="11"/>
        <v>70010.550000000076</v>
      </c>
      <c r="N19" s="48">
        <f t="shared" si="12"/>
        <v>0</v>
      </c>
      <c r="O19" s="48">
        <f t="shared" si="13"/>
        <v>51500</v>
      </c>
      <c r="P19" s="48">
        <f t="shared" si="14"/>
        <v>0</v>
      </c>
      <c r="Q19" s="48">
        <f t="shared" si="15"/>
        <v>22750</v>
      </c>
      <c r="R19" s="48">
        <f t="shared" si="16"/>
        <v>0</v>
      </c>
      <c r="S19" s="48">
        <f t="shared" si="17"/>
        <v>0</v>
      </c>
      <c r="T19" s="48">
        <f t="shared" si="18"/>
        <v>369223.52399999992</v>
      </c>
      <c r="U19" s="50">
        <f t="shared" si="19"/>
        <v>0</v>
      </c>
      <c r="V19" s="48">
        <f t="shared" si="20"/>
        <v>60000</v>
      </c>
      <c r="W19" s="50">
        <f t="shared" si="21"/>
        <v>45</v>
      </c>
    </row>
    <row r="20" spans="1:23" x14ac:dyDescent="0.3">
      <c r="A20" s="46">
        <v>11</v>
      </c>
      <c r="B20" s="47">
        <f t="shared" si="0"/>
        <v>46327</v>
      </c>
      <c r="C20" s="46" t="str">
        <f t="shared" si="1"/>
        <v>nov. 2026</v>
      </c>
      <c r="D20" s="47">
        <f t="shared" si="2"/>
        <v>45962</v>
      </c>
      <c r="E20" s="46">
        <f t="shared" si="3"/>
        <v>0</v>
      </c>
      <c r="F20" s="48">
        <f t="shared" si="4"/>
        <v>0</v>
      </c>
      <c r="G20" s="48">
        <f t="shared" si="5"/>
        <v>185772.37000000002</v>
      </c>
      <c r="H20" s="48">
        <f t="shared" si="6"/>
        <v>201000</v>
      </c>
      <c r="I20" s="48">
        <f t="shared" si="7"/>
        <v>0</v>
      </c>
      <c r="J20" s="48">
        <f t="shared" si="8"/>
        <v>0</v>
      </c>
      <c r="K20" s="49">
        <f t="shared" si="9"/>
        <v>0</v>
      </c>
      <c r="L20" s="49">
        <f t="shared" si="10"/>
        <v>0.33</v>
      </c>
      <c r="M20" s="48">
        <f t="shared" si="11"/>
        <v>63150.510000000068</v>
      </c>
      <c r="N20" s="48">
        <f t="shared" si="12"/>
        <v>0</v>
      </c>
      <c r="O20" s="48">
        <f t="shared" si="13"/>
        <v>51500</v>
      </c>
      <c r="P20" s="48">
        <f t="shared" si="14"/>
        <v>0</v>
      </c>
      <c r="Q20" s="48">
        <f t="shared" si="15"/>
        <v>14830</v>
      </c>
      <c r="R20" s="48">
        <f t="shared" si="16"/>
        <v>0</v>
      </c>
      <c r="S20" s="48">
        <f t="shared" si="17"/>
        <v>0</v>
      </c>
      <c r="T20" s="48">
        <f t="shared" si="18"/>
        <v>235109.74799999996</v>
      </c>
      <c r="U20" s="50">
        <f t="shared" si="19"/>
        <v>0</v>
      </c>
      <c r="V20" s="48">
        <f t="shared" si="20"/>
        <v>60000</v>
      </c>
      <c r="W20" s="50">
        <f t="shared" si="21"/>
        <v>45</v>
      </c>
    </row>
    <row r="21" spans="1:23" x14ac:dyDescent="0.3">
      <c r="A21" s="46">
        <v>12</v>
      </c>
      <c r="B21" s="47">
        <f t="shared" si="0"/>
        <v>46357</v>
      </c>
      <c r="C21" s="46" t="str">
        <f t="shared" si="1"/>
        <v>déc. 2026</v>
      </c>
      <c r="D21" s="47">
        <f t="shared" si="2"/>
        <v>45992</v>
      </c>
      <c r="E21" s="46">
        <f t="shared" si="3"/>
        <v>0</v>
      </c>
      <c r="F21" s="48">
        <f t="shared" si="4"/>
        <v>0</v>
      </c>
      <c r="G21" s="48">
        <f t="shared" si="5"/>
        <v>169867.70999999996</v>
      </c>
      <c r="H21" s="48">
        <f t="shared" si="6"/>
        <v>183000</v>
      </c>
      <c r="I21" s="48">
        <f t="shared" si="7"/>
        <v>0</v>
      </c>
      <c r="J21" s="48">
        <f t="shared" si="8"/>
        <v>0</v>
      </c>
      <c r="K21" s="49">
        <f t="shared" si="9"/>
        <v>0</v>
      </c>
      <c r="L21" s="49">
        <f t="shared" si="10"/>
        <v>0.33</v>
      </c>
      <c r="M21" s="48">
        <f t="shared" si="11"/>
        <v>57247.51999999999</v>
      </c>
      <c r="N21" s="48">
        <f t="shared" si="12"/>
        <v>0</v>
      </c>
      <c r="O21" s="48">
        <f t="shared" si="13"/>
        <v>56000</v>
      </c>
      <c r="P21" s="48">
        <f t="shared" si="14"/>
        <v>0</v>
      </c>
      <c r="Q21" s="48">
        <f t="shared" si="15"/>
        <v>4390</v>
      </c>
      <c r="R21" s="48">
        <f t="shared" si="16"/>
        <v>0</v>
      </c>
      <c r="S21" s="48">
        <f t="shared" si="17"/>
        <v>0</v>
      </c>
      <c r="T21" s="48">
        <f t="shared" si="18"/>
        <v>0</v>
      </c>
      <c r="U21" s="50">
        <f t="shared" si="19"/>
        <v>0</v>
      </c>
      <c r="V21" s="48">
        <f t="shared" si="20"/>
        <v>60000</v>
      </c>
      <c r="W21" s="50">
        <f t="shared" si="21"/>
        <v>45</v>
      </c>
    </row>
    <row r="24" spans="1:23" x14ac:dyDescent="0.3">
      <c r="A24" s="51" t="s">
        <v>1093</v>
      </c>
      <c r="D24" s="51" t="s">
        <v>1094</v>
      </c>
    </row>
    <row r="25" spans="1:23" x14ac:dyDescent="0.3">
      <c r="A25" s="52" t="s">
        <v>1095</v>
      </c>
      <c r="B25" s="53">
        <f>INDEX($F$10:$F$21,C_Idx)</f>
        <v>195924.78999999998</v>
      </c>
      <c r="D25" s="52" t="s">
        <v>1096</v>
      </c>
      <c r="E25" s="54">
        <f>IF(Calculs!$B$26=0,0,Calculs!$B$25/Calculs!$B$26-1)</f>
        <v>-5.3503429951690884E-2</v>
      </c>
    </row>
    <row r="26" spans="1:23" x14ac:dyDescent="0.3">
      <c r="A26" s="52" t="s">
        <v>1097</v>
      </c>
      <c r="B26" s="53">
        <f>INDEX($H$10:$H$21,C_Idx)</f>
        <v>207000</v>
      </c>
      <c r="D26" s="52" t="s">
        <v>1098</v>
      </c>
      <c r="E26" s="54">
        <f>IF(Calculs!$B$27=0,0,Calculs!$B$25/Calculs!$B$27-1)</f>
        <v>2.2755385569144915E-2</v>
      </c>
    </row>
    <row r="27" spans="1:23" x14ac:dyDescent="0.3">
      <c r="A27" s="52" t="s">
        <v>1099</v>
      </c>
      <c r="B27" s="53">
        <f>INDEX($G$10:$G$21,C_Idx)</f>
        <v>191565.63999999996</v>
      </c>
      <c r="D27" s="52" t="s">
        <v>1100</v>
      </c>
      <c r="E27" s="54">
        <f>IF(Calculs!$B$29=0,0,Calculs!$B$28/Calculs!$B$29-1)</f>
        <v>-1.2011142520612417E-2</v>
      </c>
    </row>
    <row r="28" spans="1:23" x14ac:dyDescent="0.3">
      <c r="A28" s="52" t="s">
        <v>1101</v>
      </c>
      <c r="B28" s="53">
        <f>SUMIFS($F$10:$F$21,$A$10:$A$21,"&lt;="&amp;C_Idx)</f>
        <v>1677605.08</v>
      </c>
      <c r="D28" s="52" t="s">
        <v>1102</v>
      </c>
      <c r="E28" s="54">
        <f>IF(Calculs!$B$30=0,0,Calculs!$B$28/Calculs!$B$30-1)</f>
        <v>6.7263051318090739E-2</v>
      </c>
    </row>
    <row r="29" spans="1:23" x14ac:dyDescent="0.3">
      <c r="A29" s="52" t="s">
        <v>1103</v>
      </c>
      <c r="B29" s="53">
        <f>SUMIFS($H$10:$H$21,$A$10:$A$21,"&lt;="&amp;C_Idx)</f>
        <v>1698000</v>
      </c>
      <c r="D29" s="52" t="s">
        <v>1104</v>
      </c>
      <c r="E29" s="55">
        <f>(Calculs!$B$32-P_taux)*100</f>
        <v>7.0017885258188972E-2</v>
      </c>
    </row>
    <row r="30" spans="1:23" x14ac:dyDescent="0.3">
      <c r="A30" s="52" t="s">
        <v>1105</v>
      </c>
      <c r="B30" s="53">
        <f>SUMIFS($G$10:$G$21,$A$10:$A$21,"&lt;="&amp;C_Idx)</f>
        <v>1571875.9099999997</v>
      </c>
      <c r="D30" s="52" t="s">
        <v>1106</v>
      </c>
      <c r="E30" s="55">
        <f>(Calculs!$B$32-Calculs!$B$33)*100</f>
        <v>-0.61085836151881789</v>
      </c>
    </row>
    <row r="31" spans="1:23" x14ac:dyDescent="0.3">
      <c r="A31" s="52" t="s">
        <v>1107</v>
      </c>
      <c r="B31" s="53">
        <f>SUMIFS($J$10:$J$21,$A$10:$A$21,"&lt;="&amp;C_Idx)</f>
        <v>554784.30000000005</v>
      </c>
      <c r="D31" s="52" t="s">
        <v>1108</v>
      </c>
      <c r="E31" s="54">
        <f>IF(Calculs!$B$36=0,0,(Calculs!$B$35-Calculs!$B$36)/ABS(Calculs!$B$36))</f>
        <v>-6.3358002762975235E-2</v>
      </c>
    </row>
    <row r="32" spans="1:23" x14ac:dyDescent="0.3">
      <c r="A32" s="52" t="s">
        <v>1109</v>
      </c>
      <c r="B32" s="49">
        <f>IF($B$28=0,0,$B$31/$B$28)</f>
        <v>0.33070017885258191</v>
      </c>
      <c r="D32" s="52" t="s">
        <v>1110</v>
      </c>
      <c r="E32" s="46" t="str">
        <f>IF(Calculs!$E$25&gt;=0,"OK",IF(Calculs!$E$25&gt;=-P_tol_ca,"À surveiller","Alerte"))</f>
        <v>Alerte</v>
      </c>
    </row>
    <row r="33" spans="1:10" x14ac:dyDescent="0.3">
      <c r="A33" s="52" t="s">
        <v>1111</v>
      </c>
      <c r="B33" s="49">
        <f>IF($B$30=0,0,SUMIFS($M$10:$M$21,$A$10:$A$21,"&lt;="&amp;C_Idx)/$B$30)</f>
        <v>0.33680876246777008</v>
      </c>
      <c r="D33" s="52" t="s">
        <v>1112</v>
      </c>
      <c r="E33" s="46" t="str">
        <f>IF(Calculs!$E$27&gt;=0,"OK",IF(Calculs!$E$27&gt;=-P_tol_ca,"À surveiller","Alerte"))</f>
        <v>À surveiller</v>
      </c>
    </row>
    <row r="34" spans="1:10" x14ac:dyDescent="0.3">
      <c r="A34" s="52" t="s">
        <v>1113</v>
      </c>
      <c r="B34" s="49">
        <f>INDEX($K$10:$K$21,C_Idx)</f>
        <v>0.31956384896469719</v>
      </c>
      <c r="D34" s="52" t="s">
        <v>1114</v>
      </c>
      <c r="E34" s="46" t="str">
        <f>IF(Calculs!$E$29/100&gt;=0,"OK",IF(Calculs!$E$29/100&gt;=-P_tol_marge,"À surveiller","Alerte"))</f>
        <v>OK</v>
      </c>
    </row>
    <row r="35" spans="1:10" x14ac:dyDescent="0.3">
      <c r="A35" s="52" t="s">
        <v>1115</v>
      </c>
      <c r="B35" s="53">
        <f>SUMIFS($P$10:$P$21,$A$10:$A$21,"&lt;="&amp;C_Idx)</f>
        <v>94919.30000000009</v>
      </c>
      <c r="D35" s="52" t="s">
        <v>1116</v>
      </c>
      <c r="E35" s="46" t="str">
        <f>IF(Calculs!$E$31&gt;=0,"OK",IF(Calculs!$E$31&gt;=-P_tol_ca,"À surveiller","Alerte"))</f>
        <v>Alerte</v>
      </c>
    </row>
    <row r="36" spans="1:10" x14ac:dyDescent="0.3">
      <c r="A36" s="52" t="s">
        <v>1117</v>
      </c>
      <c r="B36" s="53">
        <f>SUMIFS($Q$10:$Q$21,$A$10:$A$21,"&lt;="&amp;C_Idx)</f>
        <v>101340</v>
      </c>
      <c r="D36" s="52" t="s">
        <v>1118</v>
      </c>
      <c r="E36" s="46" t="str">
        <f>IF(Calculs!$B$37&lt;P_seuil_treso,"Alerte",IF(Calculs!$B$37&lt;P_seuil_treso*1.25,"À surveiller","OK"))</f>
        <v>À surveiller</v>
      </c>
    </row>
    <row r="37" spans="1:10" x14ac:dyDescent="0.3">
      <c r="A37" s="52" t="s">
        <v>1119</v>
      </c>
      <c r="B37" s="53">
        <f>INDEX($R$10:$R$21,C_Idx)</f>
        <v>69773</v>
      </c>
      <c r="D37" s="52" t="s">
        <v>1120</v>
      </c>
      <c r="E37" s="46" t="str">
        <f>IF(Calculs!$B$39&lt;=P_obj_dso,"OK",IF(Calculs!$B$39&lt;=P_obj_dso+P_tol_dso,"À surveiller","Alerte"))</f>
        <v>Alerte</v>
      </c>
    </row>
    <row r="38" spans="1:10" x14ac:dyDescent="0.3">
      <c r="A38" s="52" t="s">
        <v>1121</v>
      </c>
      <c r="B38" s="53">
        <f>IF(C_Idx=1,SUMIFS(M_Treso,M_Mois,EDATE(C_Mois,-1)),INDEX($R$10:$R$21,C_Idx-1))</f>
        <v>79110</v>
      </c>
    </row>
    <row r="39" spans="1:10" x14ac:dyDescent="0.3">
      <c r="A39" s="52" t="s">
        <v>1122</v>
      </c>
      <c r="B39" s="50">
        <f>INDEX($U$10:$U$21,C_Idx)</f>
        <v>58.000645275694978</v>
      </c>
    </row>
    <row r="40" spans="1:10" x14ac:dyDescent="0.3">
      <c r="A40" s="52" t="s">
        <v>1123</v>
      </c>
      <c r="B40" s="50">
        <f>IF(C_Idx=1,0,INDEX($U$10:$U$21,C_Idx-1))</f>
        <v>57.007056879912405</v>
      </c>
    </row>
    <row r="47" spans="1:10" x14ac:dyDescent="0.3">
      <c r="A47" s="51" t="s">
        <v>1124</v>
      </c>
      <c r="F47" s="51" t="s">
        <v>1125</v>
      </c>
    </row>
    <row r="48" spans="1:10" x14ac:dyDescent="0.3">
      <c r="A48" s="56" t="s">
        <v>38</v>
      </c>
      <c r="B48" s="56" t="s">
        <v>39</v>
      </c>
      <c r="C48" s="56" t="s">
        <v>1126</v>
      </c>
      <c r="D48" s="56" t="s">
        <v>1127</v>
      </c>
      <c r="F48" s="56" t="s">
        <v>1128</v>
      </c>
      <c r="G48" s="56" t="s">
        <v>38</v>
      </c>
      <c r="H48" s="56" t="s">
        <v>39</v>
      </c>
      <c r="I48" s="56" t="s">
        <v>43</v>
      </c>
      <c r="J48" s="56" t="s">
        <v>41</v>
      </c>
    </row>
    <row r="49" spans="1:10" x14ac:dyDescent="0.3">
      <c r="A49" s="57" t="str">
        <f>IF(INDEX(L_Clients,1)="","",INDEX(L_Clients,1))</f>
        <v>Client 01</v>
      </c>
      <c r="B49" s="58">
        <f t="shared" ref="B49:B80" si="22">IF($A49="",0,SUMIFS(V_CA,V_Client,$A49,V_Mois,"&gt;="&amp;$B$6,V_Mois,"&lt;="&amp;C_Mois))</f>
        <v>309630.86000000004</v>
      </c>
      <c r="C49" s="58">
        <f t="shared" ref="C49:C80" si="23">IF($A49="",0,$B49-SUMIFS(V_Cout,V_Client,$A49,V_Mois,"&gt;="&amp;$B$6,V_Mois,"&lt;="&amp;C_Mois))</f>
        <v>105375.27000000008</v>
      </c>
      <c r="D49" s="57">
        <f t="shared" ref="D49:D80" si="24">B49+ROW()/1000000</f>
        <v>309630.86004900007</v>
      </c>
      <c r="F49" s="46">
        <v>1</v>
      </c>
      <c r="G49" s="46" t="str">
        <f>IF(LARGE($D$49:$D$128,F49)&lt;1,"",INDEX($A$49:$A$128,MATCH(LARGE($D$49:$D$128,F49),$D$49:$D$128,0)))</f>
        <v>Client 01</v>
      </c>
      <c r="H49" s="53">
        <f>IF(G49="",0,INDEX($B$49:$B$128,MATCH(G49,$A$49:$A$128,0)))</f>
        <v>309630.86000000004</v>
      </c>
      <c r="I49" s="49">
        <f>IF(H49=0,0,INDEX($C$49:$C$128,MATCH(G49,$A$49:$A$128,0))/H49)</f>
        <v>0.34032547660139578</v>
      </c>
      <c r="J49" s="49">
        <f>IF(Calculs!$B$28=0,0,H49/Calculs!$B$28)</f>
        <v>0.18456719265537752</v>
      </c>
    </row>
    <row r="50" spans="1:10" x14ac:dyDescent="0.3">
      <c r="A50" s="57" t="str">
        <f>IF(INDEX(L_Clients,2)="","",INDEX(L_Clients,2))</f>
        <v>Client 02</v>
      </c>
      <c r="B50" s="58">
        <f t="shared" si="22"/>
        <v>161036.22</v>
      </c>
      <c r="C50" s="58">
        <f t="shared" si="23"/>
        <v>53800.780000000013</v>
      </c>
      <c r="D50" s="57">
        <f t="shared" si="24"/>
        <v>161036.22005</v>
      </c>
      <c r="F50" s="46">
        <v>2</v>
      </c>
      <c r="G50" s="46" t="str">
        <f>IF(LARGE($D$49:$D$128,F50)&lt;1,"",INDEX($A$49:$A$128,MATCH(LARGE($D$49:$D$128,F50),$D$49:$D$128,0)))</f>
        <v>Client 02</v>
      </c>
      <c r="H50" s="53">
        <f>IF(G50="",0,INDEX($B$49:$B$128,MATCH(G50,$A$49:$A$128,0)))</f>
        <v>161036.22</v>
      </c>
      <c r="I50" s="49">
        <f>IF(H50=0,0,INDEX($C$49:$C$128,MATCH(G50,$A$49:$A$128,0))/H50)</f>
        <v>0.33409117526479454</v>
      </c>
      <c r="J50" s="49">
        <f>IF(Calculs!$B$28=0,0,H50/Calculs!$B$28)</f>
        <v>9.5991733644488E-2</v>
      </c>
    </row>
    <row r="51" spans="1:10" x14ac:dyDescent="0.3">
      <c r="A51" s="57" t="str">
        <f>IF(INDEX(L_Clients,3)="","",INDEX(L_Clients,3))</f>
        <v>Client 03</v>
      </c>
      <c r="B51" s="58">
        <f t="shared" si="22"/>
        <v>121397.88999999997</v>
      </c>
      <c r="C51" s="58">
        <f t="shared" si="23"/>
        <v>43563.319999999978</v>
      </c>
      <c r="D51" s="57">
        <f t="shared" si="24"/>
        <v>121397.89005099997</v>
      </c>
      <c r="F51" s="46">
        <v>3</v>
      </c>
      <c r="G51" s="46" t="str">
        <f>IF(LARGE($D$49:$D$128,F51)&lt;1,"",INDEX($A$49:$A$128,MATCH(LARGE($D$49:$D$128,F51),$D$49:$D$128,0)))</f>
        <v>Client 03</v>
      </c>
      <c r="H51" s="53">
        <f>IF(G51="",0,INDEX($B$49:$B$128,MATCH(G51,$A$49:$A$128,0)))</f>
        <v>121397.88999999997</v>
      </c>
      <c r="I51" s="49">
        <f>IF(H51=0,0,INDEX($C$49:$C$128,MATCH(G51,$A$49:$A$128,0))/H51)</f>
        <v>0.35884742313066553</v>
      </c>
      <c r="J51" s="49">
        <f>IF(Calculs!$B$28=0,0,H51/Calculs!$B$28)</f>
        <v>7.2363806862101282E-2</v>
      </c>
    </row>
    <row r="52" spans="1:10" x14ac:dyDescent="0.3">
      <c r="A52" s="57" t="str">
        <f>IF(INDEX(L_Clients,4)="","",INDEX(L_Clients,4))</f>
        <v>Client 04</v>
      </c>
      <c r="B52" s="58">
        <f t="shared" si="22"/>
        <v>79044.010000000009</v>
      </c>
      <c r="C52" s="58">
        <f t="shared" si="23"/>
        <v>25990.960000000006</v>
      </c>
      <c r="D52" s="57">
        <f t="shared" si="24"/>
        <v>79044.010052000012</v>
      </c>
      <c r="F52" s="46">
        <v>4</v>
      </c>
      <c r="G52" s="46" t="str">
        <f>IF(LARGE($D$49:$D$128,F52)&lt;1,"",INDEX($A$49:$A$128,MATCH(LARGE($D$49:$D$128,F52),$D$49:$D$128,0)))</f>
        <v>Client 06</v>
      </c>
      <c r="H52" s="53">
        <f>IF(G52="",0,INDEX($B$49:$B$128,MATCH(G52,$A$49:$A$128,0)))</f>
        <v>85545.62000000001</v>
      </c>
      <c r="I52" s="49">
        <f>IF(H52=0,0,INDEX($C$49:$C$128,MATCH(G52,$A$49:$A$128,0))/H52)</f>
        <v>0.3248163962105835</v>
      </c>
      <c r="J52" s="49">
        <f>IF(Calculs!$B$28=0,0,H52/Calculs!$B$28)</f>
        <v>5.0992704433155393E-2</v>
      </c>
    </row>
    <row r="53" spans="1:10" x14ac:dyDescent="0.3">
      <c r="A53" s="57" t="str">
        <f>IF(INDEX(L_Clients,5)="","",INDEX(L_Clients,5))</f>
        <v>Client 05</v>
      </c>
      <c r="B53" s="58">
        <f t="shared" si="22"/>
        <v>63614.220000000008</v>
      </c>
      <c r="C53" s="58">
        <f t="shared" si="23"/>
        <v>22215.470000000016</v>
      </c>
      <c r="D53" s="57">
        <f t="shared" si="24"/>
        <v>63614.220053000012</v>
      </c>
      <c r="F53" s="46">
        <v>5</v>
      </c>
      <c r="G53" s="46" t="str">
        <f>IF(LARGE($D$49:$D$128,F53)&lt;1,"",INDEX($A$49:$A$128,MATCH(LARGE($D$49:$D$128,F53),$D$49:$D$128,0)))</f>
        <v>Client 04</v>
      </c>
      <c r="H53" s="53">
        <f>IF(G53="",0,INDEX($B$49:$B$128,MATCH(G53,$A$49:$A$128,0)))</f>
        <v>79044.010000000009</v>
      </c>
      <c r="I53" s="49">
        <f>IF(H53=0,0,INDEX($C$49:$C$128,MATCH(G53,$A$49:$A$128,0))/H53)</f>
        <v>0.32881631384844978</v>
      </c>
      <c r="J53" s="49">
        <f>IF(Calculs!$B$28=0,0,H53/Calculs!$B$28)</f>
        <v>4.7117173727204024E-2</v>
      </c>
    </row>
    <row r="54" spans="1:10" x14ac:dyDescent="0.3">
      <c r="A54" s="57" t="str">
        <f>IF(INDEX(L_Clients,6)="","",INDEX(L_Clients,6))</f>
        <v>Client 06</v>
      </c>
      <c r="B54" s="58">
        <f t="shared" si="22"/>
        <v>85545.62000000001</v>
      </c>
      <c r="C54" s="58">
        <f t="shared" si="23"/>
        <v>27786.620000000017</v>
      </c>
      <c r="D54" s="57">
        <f t="shared" si="24"/>
        <v>85545.620054000014</v>
      </c>
    </row>
    <row r="55" spans="1:10" x14ac:dyDescent="0.3">
      <c r="A55" s="57" t="str">
        <f>IF(INDEX(L_Clients,7)="","",INDEX(L_Clients,7))</f>
        <v>Client 07</v>
      </c>
      <c r="B55" s="58">
        <f t="shared" si="22"/>
        <v>58134.23</v>
      </c>
      <c r="C55" s="58">
        <f t="shared" si="23"/>
        <v>17732.54</v>
      </c>
      <c r="D55" s="57">
        <f t="shared" si="24"/>
        <v>58134.230055</v>
      </c>
      <c r="F55" s="52" t="s">
        <v>1129</v>
      </c>
      <c r="J55" s="59">
        <f>SUM(J49:J53)</f>
        <v>0.45103261132232619</v>
      </c>
    </row>
    <row r="56" spans="1:10" x14ac:dyDescent="0.3">
      <c r="A56" s="57" t="str">
        <f>IF(INDEX(L_Clients,8)="","",INDEX(L_Clients,8))</f>
        <v>Client 08</v>
      </c>
      <c r="B56" s="58">
        <f t="shared" si="22"/>
        <v>34658.200000000004</v>
      </c>
      <c r="C56" s="58">
        <f t="shared" si="23"/>
        <v>13913.400000000001</v>
      </c>
      <c r="D56" s="57">
        <f t="shared" si="24"/>
        <v>34658.200056000001</v>
      </c>
    </row>
    <row r="57" spans="1:10" x14ac:dyDescent="0.3">
      <c r="A57" s="57" t="str">
        <f>IF(INDEX(L_Clients,9)="","",INDEX(L_Clients,9))</f>
        <v>Client 09</v>
      </c>
      <c r="B57" s="58">
        <f t="shared" si="22"/>
        <v>48863.86</v>
      </c>
      <c r="C57" s="58">
        <f t="shared" si="23"/>
        <v>12591.18</v>
      </c>
      <c r="D57" s="57">
        <f t="shared" si="24"/>
        <v>48863.860056999998</v>
      </c>
      <c r="F57" s="51" t="s">
        <v>1130</v>
      </c>
    </row>
    <row r="58" spans="1:10" x14ac:dyDescent="0.3">
      <c r="A58" s="57" t="str">
        <f>IF(INDEX(L_Clients,10)="","",INDEX(L_Clients,10))</f>
        <v>Client 10</v>
      </c>
      <c r="B58" s="58">
        <f t="shared" si="22"/>
        <v>60646.15</v>
      </c>
      <c r="C58" s="58">
        <f t="shared" si="23"/>
        <v>19610.46</v>
      </c>
      <c r="D58" s="57">
        <f t="shared" si="24"/>
        <v>60646.150057999999</v>
      </c>
      <c r="F58" s="56" t="s">
        <v>42</v>
      </c>
      <c r="G58" s="56" t="s">
        <v>1131</v>
      </c>
      <c r="H58" s="56" t="s">
        <v>1132</v>
      </c>
      <c r="I58" s="56" t="s">
        <v>1133</v>
      </c>
      <c r="J58" s="56" t="s">
        <v>1081</v>
      </c>
    </row>
    <row r="59" spans="1:10" x14ac:dyDescent="0.3">
      <c r="A59" s="57" t="str">
        <f>IF(INDEX(L_Clients,11)="","",INDEX(L_Clients,11))</f>
        <v>Client 11</v>
      </c>
      <c r="B59" s="58">
        <f t="shared" si="22"/>
        <v>21934.97</v>
      </c>
      <c r="C59" s="58">
        <f t="shared" si="23"/>
        <v>8700.4800000000014</v>
      </c>
      <c r="D59" s="57">
        <f t="shared" si="24"/>
        <v>21934.970059000003</v>
      </c>
      <c r="F59" s="46" t="str">
        <f>IF(INDEX(L_Familles,1)="","",INDEX(L_Familles,1))</f>
        <v>Matériaux</v>
      </c>
      <c r="G59" s="53">
        <f t="shared" ref="G59:G64" si="25">IF($F59="",0,SUMIFS(V_CA,V_Famille,$F59,V_Mois,"&gt;="&amp;$B$6,V_Mois,"&lt;="&amp;C_Mois))</f>
        <v>723591.49</v>
      </c>
      <c r="H59" s="53">
        <f t="shared" ref="H59:H64" si="26">IF($F59="",0,SUMIFS(V_CA,V_Famille,$F59,V_Mois,"&gt;="&amp;EDATE($B$6,-12),V_Mois,"&lt;="&amp;EDATE(C_Mois,-12)))</f>
        <v>707344.16</v>
      </c>
      <c r="I59" s="54">
        <f t="shared" ref="I59:I64" si="27">IF(H59=0,0,G59/H59-1)</f>
        <v>2.2969483483118003E-2</v>
      </c>
      <c r="J59" s="49">
        <f t="shared" ref="J59:J64" si="28">IF(G59=0,0,1-SUMIFS(V_Cout,V_Famille,$F59,V_Mois,"&gt;="&amp;$B$6,V_Mois,"&lt;="&amp;C_Mois)/G59)</f>
        <v>0.21264543893405929</v>
      </c>
    </row>
    <row r="60" spans="1:10" x14ac:dyDescent="0.3">
      <c r="A60" s="57" t="str">
        <f>IF(INDEX(L_Clients,12)="","",INDEX(L_Clients,12))</f>
        <v>Client 12</v>
      </c>
      <c r="B60" s="58">
        <f t="shared" si="22"/>
        <v>37001.01</v>
      </c>
      <c r="C60" s="58">
        <f t="shared" si="23"/>
        <v>11854.36</v>
      </c>
      <c r="D60" s="57">
        <f t="shared" si="24"/>
        <v>37001.010060000001</v>
      </c>
      <c r="F60" s="46" t="str">
        <f>IF(INDEX(L_Familles,2)="","",INDEX(L_Familles,2))</f>
        <v>Outillage</v>
      </c>
      <c r="G60" s="53">
        <f t="shared" si="25"/>
        <v>426860.98000000021</v>
      </c>
      <c r="H60" s="53">
        <f t="shared" si="26"/>
        <v>392968.95999999973</v>
      </c>
      <c r="I60" s="54">
        <f t="shared" si="27"/>
        <v>8.6246048542868436E-2</v>
      </c>
      <c r="J60" s="49">
        <f t="shared" si="28"/>
        <v>0.3402837382793813</v>
      </c>
    </row>
    <row r="61" spans="1:10" x14ac:dyDescent="0.3">
      <c r="A61" s="57" t="str">
        <f>IF(INDEX(L_Clients,13)="","",INDEX(L_Clients,13))</f>
        <v>Client 13</v>
      </c>
      <c r="B61" s="58">
        <f t="shared" si="22"/>
        <v>28281.52</v>
      </c>
      <c r="C61" s="58">
        <f t="shared" si="23"/>
        <v>9610.9199999999983</v>
      </c>
      <c r="D61" s="57">
        <f t="shared" si="24"/>
        <v>28281.520060999999</v>
      </c>
      <c r="F61" s="46" t="str">
        <f>IF(INDEX(L_Familles,3)="","",INDEX(L_Familles,3))</f>
        <v>Consommables</v>
      </c>
      <c r="G61" s="53">
        <f t="shared" si="25"/>
        <v>334857.94000000006</v>
      </c>
      <c r="H61" s="53">
        <f t="shared" si="26"/>
        <v>314375.18</v>
      </c>
      <c r="I61" s="54">
        <f t="shared" si="27"/>
        <v>6.5153871243907036E-2</v>
      </c>
      <c r="J61" s="49">
        <f t="shared" si="28"/>
        <v>0.40975794093459439</v>
      </c>
    </row>
    <row r="62" spans="1:10" x14ac:dyDescent="0.3">
      <c r="A62" s="57" t="str">
        <f>IF(INDEX(L_Clients,14)="","",INDEX(L_Clients,14))</f>
        <v>Client 14</v>
      </c>
      <c r="B62" s="58">
        <f t="shared" si="22"/>
        <v>45338.93</v>
      </c>
      <c r="C62" s="58">
        <f t="shared" si="23"/>
        <v>13144.949999999997</v>
      </c>
      <c r="D62" s="57">
        <f t="shared" si="24"/>
        <v>45338.930061999999</v>
      </c>
      <c r="F62" s="46" t="str">
        <f>IF(INDEX(L_Familles,4)="","",INDEX(L_Familles,4))</f>
        <v>Services</v>
      </c>
      <c r="G62" s="53">
        <f t="shared" si="25"/>
        <v>192294.66999999993</v>
      </c>
      <c r="H62" s="53">
        <f t="shared" si="26"/>
        <v>157187.61000000002</v>
      </c>
      <c r="I62" s="54">
        <f t="shared" si="27"/>
        <v>0.22334495702301149</v>
      </c>
      <c r="J62" s="49">
        <f t="shared" si="28"/>
        <v>0.61598857628243131</v>
      </c>
    </row>
    <row r="63" spans="1:10" x14ac:dyDescent="0.3">
      <c r="A63" s="57" t="str">
        <f>IF(INDEX(L_Clients,15)="","",INDEX(L_Clients,15))</f>
        <v>Client 15</v>
      </c>
      <c r="B63" s="58">
        <f t="shared" si="22"/>
        <v>11378.91</v>
      </c>
      <c r="C63" s="58">
        <f t="shared" si="23"/>
        <v>3311.8500000000004</v>
      </c>
      <c r="D63" s="57">
        <f t="shared" si="24"/>
        <v>11378.910062999999</v>
      </c>
      <c r="F63" s="46" t="str">
        <f>IF(INDEX(L_Familles,5)="","",INDEX(L_Familles,5))</f>
        <v/>
      </c>
      <c r="G63" s="53">
        <f t="shared" si="25"/>
        <v>0</v>
      </c>
      <c r="H63" s="53">
        <f t="shared" si="26"/>
        <v>0</v>
      </c>
      <c r="I63" s="54">
        <f t="shared" si="27"/>
        <v>0</v>
      </c>
      <c r="J63" s="49">
        <f t="shared" si="28"/>
        <v>0</v>
      </c>
    </row>
    <row r="64" spans="1:10" x14ac:dyDescent="0.3">
      <c r="A64" s="57" t="str">
        <f>IF(INDEX(L_Clients,16)="","",INDEX(L_Clients,16))</f>
        <v>Client 16</v>
      </c>
      <c r="B64" s="58">
        <f t="shared" si="22"/>
        <v>14721.060000000001</v>
      </c>
      <c r="C64" s="58">
        <f t="shared" si="23"/>
        <v>4980.9700000000012</v>
      </c>
      <c r="D64" s="57">
        <f t="shared" si="24"/>
        <v>14721.060064000001</v>
      </c>
      <c r="F64" s="46" t="str">
        <f>IF(INDEX(L_Familles,6)="","",INDEX(L_Familles,6))</f>
        <v/>
      </c>
      <c r="G64" s="53">
        <f t="shared" si="25"/>
        <v>0</v>
      </c>
      <c r="H64" s="53">
        <f t="shared" si="26"/>
        <v>0</v>
      </c>
      <c r="I64" s="54">
        <f t="shared" si="27"/>
        <v>0</v>
      </c>
      <c r="J64" s="49">
        <f t="shared" si="28"/>
        <v>0</v>
      </c>
    </row>
    <row r="65" spans="1:4" x14ac:dyDescent="0.3">
      <c r="A65" s="57" t="str">
        <f>IF(INDEX(L_Clients,17)="","",INDEX(L_Clients,17))</f>
        <v>Client 17</v>
      </c>
      <c r="B65" s="58">
        <f t="shared" si="22"/>
        <v>31528.75</v>
      </c>
      <c r="C65" s="58">
        <f t="shared" si="23"/>
        <v>13235.390000000003</v>
      </c>
      <c r="D65" s="57">
        <f t="shared" si="24"/>
        <v>31528.750065</v>
      </c>
    </row>
    <row r="66" spans="1:4" x14ac:dyDescent="0.3">
      <c r="A66" s="57" t="str">
        <f>IF(INDEX(L_Clients,18)="","",INDEX(L_Clients,18))</f>
        <v>Client 18</v>
      </c>
      <c r="B66" s="58">
        <f t="shared" si="22"/>
        <v>38439.339999999997</v>
      </c>
      <c r="C66" s="58">
        <f t="shared" si="23"/>
        <v>9715.5099999999948</v>
      </c>
      <c r="D66" s="57">
        <f t="shared" si="24"/>
        <v>38439.340065999997</v>
      </c>
    </row>
    <row r="67" spans="1:4" x14ac:dyDescent="0.3">
      <c r="A67" s="51" t="s">
        <v>1134</v>
      </c>
      <c r="B67" s="58">
        <f t="shared" si="22"/>
        <v>0</v>
      </c>
      <c r="C67" s="58">
        <f t="shared" si="23"/>
        <v>0</v>
      </c>
      <c r="D67" s="57">
        <f t="shared" si="24"/>
        <v>6.7000000000000002E-5</v>
      </c>
    </row>
    <row r="68" spans="1:4" x14ac:dyDescent="0.3">
      <c r="A68" s="57" t="str">
        <f>IF(Calculs!$E$33="OK","Chiffre d’affaires cumulé au-dessus du budget ("&amp;IF(Calculs!$E$27&gt;=0,"+","")&amp;FIXED(Calculs!$E$27*100,1)&amp;" %).","Chiffre d’affaires cumulé sous le budget : "&amp;FIXED(Calculs!$E$27*100,1)&amp;" %, soit "&amp;FIXED((Calculs!$B$28-Calculs!$B$29)/1000,0)&amp;" k€.")</f>
        <v>Chiffre d’affaires cumulé sous le budget : -1,2 %, soit -20 k€.</v>
      </c>
      <c r="B68" s="58">
        <f t="shared" si="22"/>
        <v>0</v>
      </c>
      <c r="C68" s="58">
        <f t="shared" si="23"/>
        <v>0</v>
      </c>
      <c r="D68" s="57">
        <f t="shared" si="24"/>
        <v>6.7999999999999999E-5</v>
      </c>
    </row>
    <row r="69" spans="1:4" x14ac:dyDescent="0.3">
      <c r="A69" s="57" t="str">
        <f>IF(Calculs!$E$34="OK","Taux de marge cumulé conforme à l’objectif ("&amp;FIXED(Calculs!$B$32*100,1)&amp;" %).","Taux de marge cumulé de "&amp;FIXED(Calculs!$B$32*100,1)&amp;" %, "&amp;FIXED(-Calculs!$E$29,1)&amp;" pt sous l’objectif. Celui du mois est de "&amp;FIXED(Calculs!$B$34*100,1)&amp;" % : regardez la marge par famille.")</f>
        <v>Taux de marge cumulé conforme à l’objectif (33,1 %).</v>
      </c>
      <c r="B69" s="58">
        <f t="shared" si="22"/>
        <v>0</v>
      </c>
      <c r="C69" s="58">
        <f t="shared" si="23"/>
        <v>0</v>
      </c>
      <c r="D69" s="57">
        <f t="shared" si="24"/>
        <v>6.8999999999999997E-5</v>
      </c>
    </row>
    <row r="70" spans="1:4" x14ac:dyDescent="0.3">
      <c r="A70" s="57" t="str">
        <f>IF(Calculs!$E$36="OK","Trésorerie au-dessus du seuil d’alerte ("&amp;FIXED(Calculs!$B$37/1000,0)&amp;" k€).","Trésorerie de "&amp;FIXED(Calculs!$B$37/1000,0)&amp;" k€ en fin de mois, pour un seuil de "&amp;FIXED(P_seuil_treso/1000,0)&amp;" k€ ("&amp;IF(Calculs!$B$37-Calculs!$B$38&gt;=0,"+","")&amp;FIXED((Calculs!$B$37-Calculs!$B$38)/1000,0)&amp;" k€ sur un mois).")</f>
        <v>Trésorerie de 70 k€ en fin de mois, pour un seuil de 60 k€ (-9 k€ sur un mois).</v>
      </c>
      <c r="B70" s="58">
        <f t="shared" si="22"/>
        <v>0</v>
      </c>
      <c r="C70" s="58">
        <f t="shared" si="23"/>
        <v>0</v>
      </c>
      <c r="D70" s="57">
        <f t="shared" si="24"/>
        <v>6.9999999999999994E-5</v>
      </c>
    </row>
    <row r="71" spans="1:4" x14ac:dyDescent="0.3">
      <c r="A71" s="57" t="str">
        <f>IF(Calculs!$E$37="OK","Délai de paiement clients dans l’objectif ("&amp;FIXED(Calculs!$B$39,0)&amp;" jours).","Délai de paiement clients de "&amp;FIXED(Calculs!$B$39,0)&amp;" jours, pour un objectif de "&amp;P_obj_dso&amp;" : relancez les retards et vérifiez les conditions de paiement.")</f>
        <v>Délai de paiement clients de 58 jours, pour un objectif de 45 : relancez les retards et vérifiez les conditions de paiement.</v>
      </c>
      <c r="B71" s="58">
        <f t="shared" si="22"/>
        <v>0</v>
      </c>
      <c r="C71" s="58">
        <f t="shared" si="23"/>
        <v>0</v>
      </c>
      <c r="D71" s="57">
        <f t="shared" si="24"/>
        <v>7.1000000000000005E-5</v>
      </c>
    </row>
    <row r="72" spans="1:4" x14ac:dyDescent="0.3">
      <c r="A72" s="57" t="str">
        <f>IF(INDEX(L_Clients,24)="","",INDEX(L_Clients,24))</f>
        <v>Client 24</v>
      </c>
      <c r="B72" s="58">
        <f t="shared" si="22"/>
        <v>27404.02</v>
      </c>
      <c r="C72" s="58">
        <f t="shared" si="23"/>
        <v>6786.4399999999987</v>
      </c>
      <c r="D72" s="57">
        <f t="shared" si="24"/>
        <v>27404.020071999999</v>
      </c>
    </row>
    <row r="73" spans="1:4" x14ac:dyDescent="0.3">
      <c r="A73" s="57" t="str">
        <f>IF(INDEX(L_Clients,25)="","",INDEX(L_Clients,25))</f>
        <v>Client 25</v>
      </c>
      <c r="B73" s="58">
        <f t="shared" si="22"/>
        <v>6939.74</v>
      </c>
      <c r="C73" s="58">
        <f t="shared" si="23"/>
        <v>3671.8999999999996</v>
      </c>
      <c r="D73" s="57">
        <f t="shared" si="24"/>
        <v>6939.7400729999999</v>
      </c>
    </row>
    <row r="74" spans="1:4" x14ac:dyDescent="0.3">
      <c r="A74" s="57" t="str">
        <f>IF(INDEX(L_Clients,26)="","",INDEX(L_Clients,26))</f>
        <v>Client 26</v>
      </c>
      <c r="B74" s="58">
        <f t="shared" si="22"/>
        <v>14042.53</v>
      </c>
      <c r="C74" s="58">
        <f t="shared" si="23"/>
        <v>6536.88</v>
      </c>
      <c r="D74" s="57">
        <f t="shared" si="24"/>
        <v>14042.530074</v>
      </c>
    </row>
    <row r="75" spans="1:4" x14ac:dyDescent="0.3">
      <c r="A75" s="57" t="str">
        <f>IF(INDEX(L_Clients,27)="","",INDEX(L_Clients,27))</f>
        <v>Client 27</v>
      </c>
      <c r="B75" s="58">
        <f t="shared" si="22"/>
        <v>17575.79</v>
      </c>
      <c r="C75" s="58">
        <f t="shared" si="23"/>
        <v>5966.32</v>
      </c>
      <c r="D75" s="57">
        <f t="shared" si="24"/>
        <v>17575.790075000001</v>
      </c>
    </row>
    <row r="76" spans="1:4" x14ac:dyDescent="0.3">
      <c r="A76" s="57" t="str">
        <f>IF(INDEX(L_Clients,28)="","",INDEX(L_Clients,28))</f>
        <v>Client 28</v>
      </c>
      <c r="B76" s="58">
        <f t="shared" si="22"/>
        <v>11716.029999999999</v>
      </c>
      <c r="C76" s="58">
        <f t="shared" si="23"/>
        <v>4356.4199999999992</v>
      </c>
      <c r="D76" s="57">
        <f t="shared" si="24"/>
        <v>11716.030075999999</v>
      </c>
    </row>
    <row r="77" spans="1:4" x14ac:dyDescent="0.3">
      <c r="A77" s="57" t="str">
        <f>IF(INDEX(L_Clients,29)="","",INDEX(L_Clients,29))</f>
        <v>Client 29</v>
      </c>
      <c r="B77" s="58">
        <f t="shared" si="22"/>
        <v>14815.369999999999</v>
      </c>
      <c r="C77" s="58">
        <f t="shared" si="23"/>
        <v>5688.3499999999985</v>
      </c>
      <c r="D77" s="57">
        <f t="shared" si="24"/>
        <v>14815.370077</v>
      </c>
    </row>
    <row r="78" spans="1:4" x14ac:dyDescent="0.3">
      <c r="A78" s="57" t="str">
        <f>IF(INDEX(L_Clients,30)="","",INDEX(L_Clients,30))</f>
        <v>Client 30</v>
      </c>
      <c r="B78" s="58">
        <f t="shared" si="22"/>
        <v>24801.21</v>
      </c>
      <c r="C78" s="58">
        <f t="shared" si="23"/>
        <v>8404.9000000000015</v>
      </c>
      <c r="D78" s="57">
        <f t="shared" si="24"/>
        <v>24801.210078</v>
      </c>
    </row>
    <row r="79" spans="1:4" x14ac:dyDescent="0.3">
      <c r="A79" s="57" t="str">
        <f>IF(INDEX(L_Clients,31)="","",INDEX(L_Clients,31))</f>
        <v>Client 31</v>
      </c>
      <c r="B79" s="58">
        <f t="shared" si="22"/>
        <v>44663.140000000007</v>
      </c>
      <c r="C79" s="58">
        <f t="shared" si="23"/>
        <v>14365.910000000011</v>
      </c>
      <c r="D79" s="57">
        <f t="shared" si="24"/>
        <v>44663.140079000004</v>
      </c>
    </row>
    <row r="80" spans="1:4" x14ac:dyDescent="0.3">
      <c r="A80" s="57" t="str">
        <f>IF(INDEX(L_Clients,32)="","",INDEX(L_Clients,32))</f>
        <v>Client 32</v>
      </c>
      <c r="B80" s="58">
        <f t="shared" si="22"/>
        <v>11252.23</v>
      </c>
      <c r="C80" s="58">
        <f t="shared" si="23"/>
        <v>2247.5299999999988</v>
      </c>
      <c r="D80" s="57">
        <f t="shared" si="24"/>
        <v>11252.230079999999</v>
      </c>
    </row>
    <row r="81" spans="1:4" x14ac:dyDescent="0.3">
      <c r="A81" s="57" t="str">
        <f>IF(INDEX(L_Clients,33)="","",INDEX(L_Clients,33))</f>
        <v>Client 33</v>
      </c>
      <c r="B81" s="58">
        <f t="shared" ref="B81:B112" si="29">IF($A81="",0,SUMIFS(V_CA,V_Client,$A81,V_Mois,"&gt;="&amp;$B$6,V_Mois,"&lt;="&amp;C_Mois))</f>
        <v>19433.87</v>
      </c>
      <c r="C81" s="58">
        <f t="shared" ref="C81:C112" si="30">IF($A81="",0,$B81-SUMIFS(V_Cout,V_Client,$A81,V_Mois,"&gt;="&amp;$B$6,V_Mois,"&lt;="&amp;C_Mois))</f>
        <v>6079.83</v>
      </c>
      <c r="D81" s="57">
        <f t="shared" ref="D81:D112" si="31">B81+ROW()/1000000</f>
        <v>19433.870080999997</v>
      </c>
    </row>
    <row r="82" spans="1:4" x14ac:dyDescent="0.3">
      <c r="A82" s="57" t="str">
        <f>IF(INDEX(L_Clients,34)="","",INDEX(L_Clients,34))</f>
        <v>Client 34</v>
      </c>
      <c r="B82" s="58">
        <f t="shared" si="29"/>
        <v>28285.869999999995</v>
      </c>
      <c r="C82" s="58">
        <f t="shared" si="30"/>
        <v>7124.2299999999959</v>
      </c>
      <c r="D82" s="57">
        <f t="shared" si="31"/>
        <v>28285.870081999994</v>
      </c>
    </row>
    <row r="83" spans="1:4" x14ac:dyDescent="0.3">
      <c r="A83" s="57" t="str">
        <f>IF(INDEX(L_Clients,35)="","",INDEX(L_Clients,35))</f>
        <v>Client 35</v>
      </c>
      <c r="B83" s="58">
        <f t="shared" si="29"/>
        <v>12410.26</v>
      </c>
      <c r="C83" s="58">
        <f t="shared" si="30"/>
        <v>2604.4499999999989</v>
      </c>
      <c r="D83" s="57">
        <f t="shared" si="31"/>
        <v>12410.260083000001</v>
      </c>
    </row>
    <row r="84" spans="1:4" x14ac:dyDescent="0.3">
      <c r="A84" s="57" t="str">
        <f>IF(INDEX(L_Clients,36)="","",INDEX(L_Clients,36))</f>
        <v>Client 36</v>
      </c>
      <c r="B84" s="58">
        <f t="shared" si="29"/>
        <v>12557.95</v>
      </c>
      <c r="C84" s="58">
        <f t="shared" si="30"/>
        <v>3280.7899999999991</v>
      </c>
      <c r="D84" s="57">
        <f t="shared" si="31"/>
        <v>12557.950084</v>
      </c>
    </row>
    <row r="85" spans="1:4" x14ac:dyDescent="0.3">
      <c r="A85" s="57" t="str">
        <f>IF(INDEX(L_Clients,37)="","",INDEX(L_Clients,37))</f>
        <v>Client 37</v>
      </c>
      <c r="B85" s="58">
        <f t="shared" si="29"/>
        <v>15437.880000000001</v>
      </c>
      <c r="C85" s="58">
        <f t="shared" si="30"/>
        <v>3945.340000000002</v>
      </c>
      <c r="D85" s="57">
        <f t="shared" si="31"/>
        <v>15437.880085000001</v>
      </c>
    </row>
    <row r="86" spans="1:4" x14ac:dyDescent="0.3">
      <c r="A86" s="57" t="str">
        <f>IF(INDEX(L_Clients,38)="","",INDEX(L_Clients,38))</f>
        <v>Client 38</v>
      </c>
      <c r="B86" s="58">
        <f t="shared" si="29"/>
        <v>20902.95</v>
      </c>
      <c r="C86" s="58">
        <f t="shared" si="30"/>
        <v>6854.6399999999994</v>
      </c>
      <c r="D86" s="57">
        <f t="shared" si="31"/>
        <v>20902.950086000001</v>
      </c>
    </row>
    <row r="87" spans="1:4" x14ac:dyDescent="0.3">
      <c r="A87" s="57" t="str">
        <f>IF(INDEX(L_Clients,39)="","",INDEX(L_Clients,39))</f>
        <v>Client 39</v>
      </c>
      <c r="B87" s="58">
        <f t="shared" si="29"/>
        <v>14972.439999999999</v>
      </c>
      <c r="C87" s="58">
        <f t="shared" si="30"/>
        <v>4201.49</v>
      </c>
      <c r="D87" s="57">
        <f t="shared" si="31"/>
        <v>14972.440086999999</v>
      </c>
    </row>
    <row r="88" spans="1:4" x14ac:dyDescent="0.3">
      <c r="A88" s="57" t="str">
        <f>IF(INDEX(L_Clients,40)="","",INDEX(L_Clients,40))</f>
        <v>Client 40</v>
      </c>
      <c r="B88" s="58">
        <f t="shared" si="29"/>
        <v>11814.489999999998</v>
      </c>
      <c r="C88" s="58">
        <f t="shared" si="30"/>
        <v>3195.659999999998</v>
      </c>
      <c r="D88" s="57">
        <f t="shared" si="31"/>
        <v>11814.490087999999</v>
      </c>
    </row>
    <row r="89" spans="1:4" x14ac:dyDescent="0.3">
      <c r="A89" s="57" t="str">
        <f>IF(INDEX(L_Clients,41)="","",INDEX(L_Clients,41))</f>
        <v/>
      </c>
      <c r="B89" s="58">
        <f t="shared" si="29"/>
        <v>0</v>
      </c>
      <c r="C89" s="58">
        <f t="shared" si="30"/>
        <v>0</v>
      </c>
      <c r="D89" s="57">
        <f t="shared" si="31"/>
        <v>8.8999999999999995E-5</v>
      </c>
    </row>
    <row r="90" spans="1:4" x14ac:dyDescent="0.3">
      <c r="A90" s="57" t="str">
        <f>IF(INDEX(L_Clients,42)="","",INDEX(L_Clients,42))</f>
        <v/>
      </c>
      <c r="B90" s="58">
        <f t="shared" si="29"/>
        <v>0</v>
      </c>
      <c r="C90" s="58">
        <f t="shared" si="30"/>
        <v>0</v>
      </c>
      <c r="D90" s="57">
        <f t="shared" si="31"/>
        <v>9.0000000000000006E-5</v>
      </c>
    </row>
    <row r="91" spans="1:4" x14ac:dyDescent="0.3">
      <c r="A91" s="57" t="str">
        <f>IF(INDEX(L_Clients,43)="","",INDEX(L_Clients,43))</f>
        <v/>
      </c>
      <c r="B91" s="58">
        <f t="shared" si="29"/>
        <v>0</v>
      </c>
      <c r="C91" s="58">
        <f t="shared" si="30"/>
        <v>0</v>
      </c>
      <c r="D91" s="57">
        <f t="shared" si="31"/>
        <v>9.1000000000000003E-5</v>
      </c>
    </row>
    <row r="92" spans="1:4" x14ac:dyDescent="0.3">
      <c r="A92" s="57" t="str">
        <f>IF(INDEX(L_Clients,44)="","",INDEX(L_Clients,44))</f>
        <v/>
      </c>
      <c r="B92" s="58">
        <f t="shared" si="29"/>
        <v>0</v>
      </c>
      <c r="C92" s="58">
        <f t="shared" si="30"/>
        <v>0</v>
      </c>
      <c r="D92" s="57">
        <f t="shared" si="31"/>
        <v>9.2E-5</v>
      </c>
    </row>
    <row r="93" spans="1:4" x14ac:dyDescent="0.3">
      <c r="A93" s="57" t="str">
        <f>IF(INDEX(L_Clients,45)="","",INDEX(L_Clients,45))</f>
        <v/>
      </c>
      <c r="B93" s="58">
        <f t="shared" si="29"/>
        <v>0</v>
      </c>
      <c r="C93" s="58">
        <f t="shared" si="30"/>
        <v>0</v>
      </c>
      <c r="D93" s="57">
        <f t="shared" si="31"/>
        <v>9.2999999999999997E-5</v>
      </c>
    </row>
    <row r="94" spans="1:4" x14ac:dyDescent="0.3">
      <c r="A94" s="57" t="str">
        <f>IF(INDEX(L_Clients,46)="","",INDEX(L_Clients,46))</f>
        <v/>
      </c>
      <c r="B94" s="58">
        <f t="shared" si="29"/>
        <v>0</v>
      </c>
      <c r="C94" s="58">
        <f t="shared" si="30"/>
        <v>0</v>
      </c>
      <c r="D94" s="57">
        <f t="shared" si="31"/>
        <v>9.3999999999999994E-5</v>
      </c>
    </row>
    <row r="95" spans="1:4" x14ac:dyDescent="0.3">
      <c r="A95" s="57" t="str">
        <f>IF(INDEX(L_Clients,47)="","",INDEX(L_Clients,47))</f>
        <v/>
      </c>
      <c r="B95" s="58">
        <f t="shared" si="29"/>
        <v>0</v>
      </c>
      <c r="C95" s="58">
        <f t="shared" si="30"/>
        <v>0</v>
      </c>
      <c r="D95" s="57">
        <f t="shared" si="31"/>
        <v>9.5000000000000005E-5</v>
      </c>
    </row>
    <row r="96" spans="1:4" x14ac:dyDescent="0.3">
      <c r="A96" s="57" t="str">
        <f>IF(INDEX(L_Clients,48)="","",INDEX(L_Clients,48))</f>
        <v/>
      </c>
      <c r="B96" s="58">
        <f t="shared" si="29"/>
        <v>0</v>
      </c>
      <c r="C96" s="58">
        <f t="shared" si="30"/>
        <v>0</v>
      </c>
      <c r="D96" s="57">
        <f t="shared" si="31"/>
        <v>9.6000000000000002E-5</v>
      </c>
    </row>
    <row r="97" spans="1:4" x14ac:dyDescent="0.3">
      <c r="A97" s="57" t="str">
        <f>IF(INDEX(L_Clients,49)="","",INDEX(L_Clients,49))</f>
        <v/>
      </c>
      <c r="B97" s="58">
        <f t="shared" si="29"/>
        <v>0</v>
      </c>
      <c r="C97" s="58">
        <f t="shared" si="30"/>
        <v>0</v>
      </c>
      <c r="D97" s="57">
        <f t="shared" si="31"/>
        <v>9.7E-5</v>
      </c>
    </row>
    <row r="98" spans="1:4" x14ac:dyDescent="0.3">
      <c r="A98" s="57" t="str">
        <f>IF(INDEX(L_Clients,50)="","",INDEX(L_Clients,50))</f>
        <v/>
      </c>
      <c r="B98" s="58">
        <f t="shared" si="29"/>
        <v>0</v>
      </c>
      <c r="C98" s="58">
        <f t="shared" si="30"/>
        <v>0</v>
      </c>
      <c r="D98" s="57">
        <f t="shared" si="31"/>
        <v>9.7999999999999997E-5</v>
      </c>
    </row>
    <row r="99" spans="1:4" x14ac:dyDescent="0.3">
      <c r="A99" s="57" t="str">
        <f>IF(INDEX(L_Clients,51)="","",INDEX(L_Clients,51))</f>
        <v/>
      </c>
      <c r="B99" s="58">
        <f t="shared" si="29"/>
        <v>0</v>
      </c>
      <c r="C99" s="58">
        <f t="shared" si="30"/>
        <v>0</v>
      </c>
      <c r="D99" s="57">
        <f t="shared" si="31"/>
        <v>9.8999999999999994E-5</v>
      </c>
    </row>
    <row r="100" spans="1:4" x14ac:dyDescent="0.3">
      <c r="A100" s="57" t="str">
        <f>IF(INDEX(L_Clients,52)="","",INDEX(L_Clients,52))</f>
        <v/>
      </c>
      <c r="B100" s="58">
        <f t="shared" si="29"/>
        <v>0</v>
      </c>
      <c r="C100" s="58">
        <f t="shared" si="30"/>
        <v>0</v>
      </c>
      <c r="D100" s="57">
        <f t="shared" si="31"/>
        <v>1E-4</v>
      </c>
    </row>
    <row r="101" spans="1:4" x14ac:dyDescent="0.3">
      <c r="A101" s="57" t="str">
        <f>IF(INDEX(L_Clients,53)="","",INDEX(L_Clients,53))</f>
        <v/>
      </c>
      <c r="B101" s="58">
        <f t="shared" si="29"/>
        <v>0</v>
      </c>
      <c r="C101" s="58">
        <f t="shared" si="30"/>
        <v>0</v>
      </c>
      <c r="D101" s="57">
        <f t="shared" si="31"/>
        <v>1.01E-4</v>
      </c>
    </row>
    <row r="102" spans="1:4" x14ac:dyDescent="0.3">
      <c r="A102" s="57" t="str">
        <f>IF(INDEX(L_Clients,54)="","",INDEX(L_Clients,54))</f>
        <v/>
      </c>
      <c r="B102" s="58">
        <f t="shared" si="29"/>
        <v>0</v>
      </c>
      <c r="C102" s="58">
        <f t="shared" si="30"/>
        <v>0</v>
      </c>
      <c r="D102" s="57">
        <f t="shared" si="31"/>
        <v>1.02E-4</v>
      </c>
    </row>
    <row r="103" spans="1:4" x14ac:dyDescent="0.3">
      <c r="A103" s="57" t="str">
        <f>IF(INDEX(L_Clients,55)="","",INDEX(L_Clients,55))</f>
        <v/>
      </c>
      <c r="B103" s="58">
        <f t="shared" si="29"/>
        <v>0</v>
      </c>
      <c r="C103" s="58">
        <f t="shared" si="30"/>
        <v>0</v>
      </c>
      <c r="D103" s="57">
        <f t="shared" si="31"/>
        <v>1.03E-4</v>
      </c>
    </row>
    <row r="104" spans="1:4" x14ac:dyDescent="0.3">
      <c r="A104" s="57" t="str">
        <f>IF(INDEX(L_Clients,56)="","",INDEX(L_Clients,56))</f>
        <v/>
      </c>
      <c r="B104" s="58">
        <f t="shared" si="29"/>
        <v>0</v>
      </c>
      <c r="C104" s="58">
        <f t="shared" si="30"/>
        <v>0</v>
      </c>
      <c r="D104" s="57">
        <f t="shared" si="31"/>
        <v>1.0399999999999999E-4</v>
      </c>
    </row>
    <row r="105" spans="1:4" x14ac:dyDescent="0.3">
      <c r="A105" s="57" t="str">
        <f>IF(INDEX(L_Clients,57)="","",INDEX(L_Clients,57))</f>
        <v/>
      </c>
      <c r="B105" s="58">
        <f t="shared" si="29"/>
        <v>0</v>
      </c>
      <c r="C105" s="58">
        <f t="shared" si="30"/>
        <v>0</v>
      </c>
      <c r="D105" s="57">
        <f t="shared" si="31"/>
        <v>1.05E-4</v>
      </c>
    </row>
    <row r="106" spans="1:4" x14ac:dyDescent="0.3">
      <c r="A106" s="57" t="str">
        <f>IF(INDEX(L_Clients,58)="","",INDEX(L_Clients,58))</f>
        <v/>
      </c>
      <c r="B106" s="58">
        <f t="shared" si="29"/>
        <v>0</v>
      </c>
      <c r="C106" s="58">
        <f t="shared" si="30"/>
        <v>0</v>
      </c>
      <c r="D106" s="57">
        <f t="shared" si="31"/>
        <v>1.06E-4</v>
      </c>
    </row>
    <row r="107" spans="1:4" x14ac:dyDescent="0.3">
      <c r="A107" s="57" t="str">
        <f>IF(INDEX(L_Clients,59)="","",INDEX(L_Clients,59))</f>
        <v/>
      </c>
      <c r="B107" s="58">
        <f t="shared" si="29"/>
        <v>0</v>
      </c>
      <c r="C107" s="58">
        <f t="shared" si="30"/>
        <v>0</v>
      </c>
      <c r="D107" s="57">
        <f t="shared" si="31"/>
        <v>1.07E-4</v>
      </c>
    </row>
    <row r="108" spans="1:4" x14ac:dyDescent="0.3">
      <c r="A108" s="57" t="str">
        <f>IF(INDEX(L_Clients,60)="","",INDEX(L_Clients,60))</f>
        <v/>
      </c>
      <c r="B108" s="58">
        <f t="shared" si="29"/>
        <v>0</v>
      </c>
      <c r="C108" s="58">
        <f t="shared" si="30"/>
        <v>0</v>
      </c>
      <c r="D108" s="57">
        <f t="shared" si="31"/>
        <v>1.08E-4</v>
      </c>
    </row>
    <row r="109" spans="1:4" x14ac:dyDescent="0.3">
      <c r="A109" s="57" t="str">
        <f>IF(INDEX(L_Clients,61)="","",INDEX(L_Clients,61))</f>
        <v/>
      </c>
      <c r="B109" s="58">
        <f t="shared" si="29"/>
        <v>0</v>
      </c>
      <c r="C109" s="58">
        <f t="shared" si="30"/>
        <v>0</v>
      </c>
      <c r="D109" s="57">
        <f t="shared" si="31"/>
        <v>1.0900000000000001E-4</v>
      </c>
    </row>
    <row r="110" spans="1:4" x14ac:dyDescent="0.3">
      <c r="A110" s="57" t="str">
        <f>IF(INDEX(L_Clients,62)="","",INDEX(L_Clients,62))</f>
        <v/>
      </c>
      <c r="B110" s="58">
        <f t="shared" si="29"/>
        <v>0</v>
      </c>
      <c r="C110" s="58">
        <f t="shared" si="30"/>
        <v>0</v>
      </c>
      <c r="D110" s="57">
        <f t="shared" si="31"/>
        <v>1.1E-4</v>
      </c>
    </row>
    <row r="111" spans="1:4" x14ac:dyDescent="0.3">
      <c r="A111" s="57" t="str">
        <f>IF(INDEX(L_Clients,63)="","",INDEX(L_Clients,63))</f>
        <v/>
      </c>
      <c r="B111" s="58">
        <f t="shared" si="29"/>
        <v>0</v>
      </c>
      <c r="C111" s="58">
        <f t="shared" si="30"/>
        <v>0</v>
      </c>
      <c r="D111" s="57">
        <f t="shared" si="31"/>
        <v>1.11E-4</v>
      </c>
    </row>
    <row r="112" spans="1:4" x14ac:dyDescent="0.3">
      <c r="A112" s="57" t="str">
        <f>IF(INDEX(L_Clients,64)="","",INDEX(L_Clients,64))</f>
        <v/>
      </c>
      <c r="B112" s="58">
        <f t="shared" si="29"/>
        <v>0</v>
      </c>
      <c r="C112" s="58">
        <f t="shared" si="30"/>
        <v>0</v>
      </c>
      <c r="D112" s="57">
        <f t="shared" si="31"/>
        <v>1.12E-4</v>
      </c>
    </row>
    <row r="113" spans="1:4" x14ac:dyDescent="0.3">
      <c r="A113" s="57" t="str">
        <f>IF(INDEX(L_Clients,65)="","",INDEX(L_Clients,65))</f>
        <v/>
      </c>
      <c r="B113" s="58">
        <f t="shared" ref="B113:B128" si="32">IF($A113="",0,SUMIFS(V_CA,V_Client,$A113,V_Mois,"&gt;="&amp;$B$6,V_Mois,"&lt;="&amp;C_Mois))</f>
        <v>0</v>
      </c>
      <c r="C113" s="58">
        <f t="shared" ref="C113:C128" si="33">IF($A113="",0,$B113-SUMIFS(V_Cout,V_Client,$A113,V_Mois,"&gt;="&amp;$B$6,V_Mois,"&lt;="&amp;C_Mois))</f>
        <v>0</v>
      </c>
      <c r="D113" s="57">
        <f t="shared" ref="D113:D128" si="34">B113+ROW()/1000000</f>
        <v>1.13E-4</v>
      </c>
    </row>
    <row r="114" spans="1:4" x14ac:dyDescent="0.3">
      <c r="A114" s="57" t="str">
        <f>IF(INDEX(L_Clients,66)="","",INDEX(L_Clients,66))</f>
        <v/>
      </c>
      <c r="B114" s="58">
        <f t="shared" si="32"/>
        <v>0</v>
      </c>
      <c r="C114" s="58">
        <f t="shared" si="33"/>
        <v>0</v>
      </c>
      <c r="D114" s="57">
        <f t="shared" si="34"/>
        <v>1.1400000000000001E-4</v>
      </c>
    </row>
    <row r="115" spans="1:4" x14ac:dyDescent="0.3">
      <c r="A115" s="57" t="str">
        <f>IF(INDEX(L_Clients,67)="","",INDEX(L_Clients,67))</f>
        <v/>
      </c>
      <c r="B115" s="58">
        <f t="shared" si="32"/>
        <v>0</v>
      </c>
      <c r="C115" s="58">
        <f t="shared" si="33"/>
        <v>0</v>
      </c>
      <c r="D115" s="57">
        <f t="shared" si="34"/>
        <v>1.15E-4</v>
      </c>
    </row>
    <row r="116" spans="1:4" x14ac:dyDescent="0.3">
      <c r="A116" s="57" t="str">
        <f>IF(INDEX(L_Clients,68)="","",INDEX(L_Clients,68))</f>
        <v/>
      </c>
      <c r="B116" s="58">
        <f t="shared" si="32"/>
        <v>0</v>
      </c>
      <c r="C116" s="58">
        <f t="shared" si="33"/>
        <v>0</v>
      </c>
      <c r="D116" s="57">
        <f t="shared" si="34"/>
        <v>1.16E-4</v>
      </c>
    </row>
    <row r="117" spans="1:4" x14ac:dyDescent="0.3">
      <c r="A117" s="57" t="str">
        <f>IF(INDEX(L_Clients,69)="","",INDEX(L_Clients,69))</f>
        <v/>
      </c>
      <c r="B117" s="58">
        <f t="shared" si="32"/>
        <v>0</v>
      </c>
      <c r="C117" s="58">
        <f t="shared" si="33"/>
        <v>0</v>
      </c>
      <c r="D117" s="57">
        <f t="shared" si="34"/>
        <v>1.17E-4</v>
      </c>
    </row>
    <row r="118" spans="1:4" x14ac:dyDescent="0.3">
      <c r="A118" s="57" t="str">
        <f>IF(INDEX(L_Clients,70)="","",INDEX(L_Clients,70))</f>
        <v/>
      </c>
      <c r="B118" s="58">
        <f t="shared" si="32"/>
        <v>0</v>
      </c>
      <c r="C118" s="58">
        <f t="shared" si="33"/>
        <v>0</v>
      </c>
      <c r="D118" s="57">
        <f t="shared" si="34"/>
        <v>1.18E-4</v>
      </c>
    </row>
    <row r="119" spans="1:4" x14ac:dyDescent="0.3">
      <c r="A119" s="57" t="str">
        <f>IF(INDEX(L_Clients,71)="","",INDEX(L_Clients,71))</f>
        <v/>
      </c>
      <c r="B119" s="58">
        <f t="shared" si="32"/>
        <v>0</v>
      </c>
      <c r="C119" s="58">
        <f t="shared" si="33"/>
        <v>0</v>
      </c>
      <c r="D119" s="57">
        <f t="shared" si="34"/>
        <v>1.1900000000000001E-4</v>
      </c>
    </row>
    <row r="120" spans="1:4" x14ac:dyDescent="0.3">
      <c r="A120" s="57" t="str">
        <f>IF(INDEX(L_Clients,72)="","",INDEX(L_Clients,72))</f>
        <v/>
      </c>
      <c r="B120" s="58">
        <f t="shared" si="32"/>
        <v>0</v>
      </c>
      <c r="C120" s="58">
        <f t="shared" si="33"/>
        <v>0</v>
      </c>
      <c r="D120" s="57">
        <f t="shared" si="34"/>
        <v>1.2E-4</v>
      </c>
    </row>
    <row r="121" spans="1:4" x14ac:dyDescent="0.3">
      <c r="A121" s="57" t="str">
        <f>IF(INDEX(L_Clients,73)="","",INDEX(L_Clients,73))</f>
        <v/>
      </c>
      <c r="B121" s="58">
        <f t="shared" si="32"/>
        <v>0</v>
      </c>
      <c r="C121" s="58">
        <f t="shared" si="33"/>
        <v>0</v>
      </c>
      <c r="D121" s="57">
        <f t="shared" si="34"/>
        <v>1.21E-4</v>
      </c>
    </row>
    <row r="122" spans="1:4" x14ac:dyDescent="0.3">
      <c r="A122" s="57" t="str">
        <f>IF(INDEX(L_Clients,74)="","",INDEX(L_Clients,74))</f>
        <v/>
      </c>
      <c r="B122" s="58">
        <f t="shared" si="32"/>
        <v>0</v>
      </c>
      <c r="C122" s="58">
        <f t="shared" si="33"/>
        <v>0</v>
      </c>
      <c r="D122" s="57">
        <f t="shared" si="34"/>
        <v>1.22E-4</v>
      </c>
    </row>
    <row r="123" spans="1:4" x14ac:dyDescent="0.3">
      <c r="A123" s="57" t="str">
        <f>IF(INDEX(L_Clients,75)="","",INDEX(L_Clients,75))</f>
        <v/>
      </c>
      <c r="B123" s="58">
        <f t="shared" si="32"/>
        <v>0</v>
      </c>
      <c r="C123" s="58">
        <f t="shared" si="33"/>
        <v>0</v>
      </c>
      <c r="D123" s="57">
        <f t="shared" si="34"/>
        <v>1.2300000000000001E-4</v>
      </c>
    </row>
    <row r="124" spans="1:4" x14ac:dyDescent="0.3">
      <c r="A124" s="57" t="str">
        <f>IF(INDEX(L_Clients,76)="","",INDEX(L_Clients,76))</f>
        <v/>
      </c>
      <c r="B124" s="58">
        <f t="shared" si="32"/>
        <v>0</v>
      </c>
      <c r="C124" s="58">
        <f t="shared" si="33"/>
        <v>0</v>
      </c>
      <c r="D124" s="57">
        <f t="shared" si="34"/>
        <v>1.2400000000000001E-4</v>
      </c>
    </row>
    <row r="125" spans="1:4" x14ac:dyDescent="0.3">
      <c r="A125" s="57" t="str">
        <f>IF(INDEX(L_Clients,77)="","",INDEX(L_Clients,77))</f>
        <v/>
      </c>
      <c r="B125" s="58">
        <f t="shared" si="32"/>
        <v>0</v>
      </c>
      <c r="C125" s="58">
        <f t="shared" si="33"/>
        <v>0</v>
      </c>
      <c r="D125" s="57">
        <f t="shared" si="34"/>
        <v>1.25E-4</v>
      </c>
    </row>
    <row r="126" spans="1:4" x14ac:dyDescent="0.3">
      <c r="A126" s="57" t="str">
        <f>IF(INDEX(L_Clients,78)="","",INDEX(L_Clients,78))</f>
        <v/>
      </c>
      <c r="B126" s="58">
        <f t="shared" si="32"/>
        <v>0</v>
      </c>
      <c r="C126" s="58">
        <f t="shared" si="33"/>
        <v>0</v>
      </c>
      <c r="D126" s="57">
        <f t="shared" si="34"/>
        <v>1.26E-4</v>
      </c>
    </row>
    <row r="127" spans="1:4" x14ac:dyDescent="0.3">
      <c r="A127" s="57" t="str">
        <f>IF(INDEX(L_Clients,79)="","",INDEX(L_Clients,79))</f>
        <v/>
      </c>
      <c r="B127" s="58">
        <f t="shared" si="32"/>
        <v>0</v>
      </c>
      <c r="C127" s="58">
        <f t="shared" si="33"/>
        <v>0</v>
      </c>
      <c r="D127" s="57">
        <f t="shared" si="34"/>
        <v>1.27E-4</v>
      </c>
    </row>
    <row r="128" spans="1:4" x14ac:dyDescent="0.3">
      <c r="A128" s="57" t="str">
        <f>IF(INDEX(L_Clients,80)="","",INDEX(L_Clients,80))</f>
        <v/>
      </c>
      <c r="B128" s="58">
        <f t="shared" si="32"/>
        <v>0</v>
      </c>
      <c r="C128" s="58">
        <f t="shared" si="33"/>
        <v>0</v>
      </c>
      <c r="D128" s="57">
        <f t="shared" si="34"/>
        <v>1.2799999999999999E-4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A6B4E"/>
  </sheetPr>
  <dimension ref="B2:B31"/>
  <sheetViews>
    <sheetView showGridLines="0" workbookViewId="0"/>
  </sheetViews>
  <sheetFormatPr baseColWidth="10" defaultColWidth="8.88671875" defaultRowHeight="14.4" x14ac:dyDescent="0.3"/>
  <cols>
    <col min="1" max="1" width="3" customWidth="1"/>
    <col min="2" max="2" width="110" customWidth="1"/>
  </cols>
  <sheetData>
    <row r="2" spans="2:2" ht="21" x14ac:dyDescent="0.3">
      <c r="B2" s="60" t="s">
        <v>1135</v>
      </c>
    </row>
    <row r="3" spans="2:2" ht="26.4" x14ac:dyDescent="0.3">
      <c r="B3" s="61" t="s">
        <v>1136</v>
      </c>
    </row>
    <row r="4" spans="2:2" x14ac:dyDescent="0.3">
      <c r="B4" s="62" t="s">
        <v>1137</v>
      </c>
    </row>
    <row r="5" spans="2:2" x14ac:dyDescent="0.3">
      <c r="B5" s="61"/>
    </row>
    <row r="6" spans="2:2" ht="15.6" x14ac:dyDescent="0.3">
      <c r="B6" s="63" t="s">
        <v>1138</v>
      </c>
    </row>
    <row r="7" spans="2:2" x14ac:dyDescent="0.3">
      <c r="B7" s="61" t="s">
        <v>1139</v>
      </c>
    </row>
    <row r="8" spans="2:2" x14ac:dyDescent="0.3">
      <c r="B8" s="61" t="s">
        <v>1140</v>
      </c>
    </row>
    <row r="9" spans="2:2" x14ac:dyDescent="0.3">
      <c r="B9" s="61"/>
    </row>
    <row r="10" spans="2:2" ht="15.6" x14ac:dyDescent="0.3">
      <c r="B10" s="63" t="s">
        <v>1141</v>
      </c>
    </row>
    <row r="11" spans="2:2" x14ac:dyDescent="0.3">
      <c r="B11" s="61" t="s">
        <v>1142</v>
      </c>
    </row>
    <row r="12" spans="2:2" ht="39.6" x14ac:dyDescent="0.3">
      <c r="B12" s="61" t="s">
        <v>1143</v>
      </c>
    </row>
    <row r="13" spans="2:2" x14ac:dyDescent="0.3">
      <c r="B13" s="61" t="s">
        <v>1144</v>
      </c>
    </row>
    <row r="14" spans="2:2" ht="26.4" x14ac:dyDescent="0.3">
      <c r="B14" s="61" t="s">
        <v>1145</v>
      </c>
    </row>
    <row r="15" spans="2:2" x14ac:dyDescent="0.3">
      <c r="B15" s="61"/>
    </row>
    <row r="16" spans="2:2" ht="15.6" x14ac:dyDescent="0.3">
      <c r="B16" s="63" t="s">
        <v>1146</v>
      </c>
    </row>
    <row r="17" spans="2:2" x14ac:dyDescent="0.3">
      <c r="B17" s="61" t="s">
        <v>1147</v>
      </c>
    </row>
    <row r="18" spans="2:2" x14ac:dyDescent="0.3">
      <c r="B18" s="61" t="s">
        <v>1148</v>
      </c>
    </row>
    <row r="19" spans="2:2" ht="26.4" x14ac:dyDescent="0.3">
      <c r="B19" s="61" t="s">
        <v>1149</v>
      </c>
    </row>
    <row r="20" spans="2:2" x14ac:dyDescent="0.3">
      <c r="B20" s="61" t="s">
        <v>1150</v>
      </c>
    </row>
    <row r="21" spans="2:2" ht="26.4" x14ac:dyDescent="0.3">
      <c r="B21" s="61" t="s">
        <v>1151</v>
      </c>
    </row>
    <row r="22" spans="2:2" x14ac:dyDescent="0.3">
      <c r="B22" s="61"/>
    </row>
    <row r="23" spans="2:2" ht="15.6" x14ac:dyDescent="0.3">
      <c r="B23" s="63" t="s">
        <v>1152</v>
      </c>
    </row>
    <row r="24" spans="2:2" ht="39.6" x14ac:dyDescent="0.3">
      <c r="B24" s="61" t="s">
        <v>1153</v>
      </c>
    </row>
    <row r="25" spans="2:2" x14ac:dyDescent="0.3">
      <c r="B25" s="61"/>
    </row>
    <row r="26" spans="2:2" ht="15.6" x14ac:dyDescent="0.3">
      <c r="B26" s="63" t="s">
        <v>1154</v>
      </c>
    </row>
    <row r="27" spans="2:2" x14ac:dyDescent="0.3">
      <c r="B27" s="61" t="s">
        <v>1155</v>
      </c>
    </row>
    <row r="28" spans="2:2" ht="26.4" x14ac:dyDescent="0.3">
      <c r="B28" s="61" t="s">
        <v>1156</v>
      </c>
    </row>
    <row r="29" spans="2:2" x14ac:dyDescent="0.3">
      <c r="B29" s="61"/>
    </row>
    <row r="30" spans="2:2" ht="15.6" x14ac:dyDescent="0.3">
      <c r="B30" s="63" t="s">
        <v>1157</v>
      </c>
    </row>
    <row r="31" spans="2:2" ht="26.4" x14ac:dyDescent="0.3">
      <c r="B31" s="61" t="s">
        <v>1158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27</vt:i4>
      </vt:variant>
    </vt:vector>
  </HeadingPairs>
  <TitlesOfParts>
    <vt:vector size="35" baseType="lpstr">
      <vt:lpstr>Bienvenue</vt:lpstr>
      <vt:lpstr>Tableau de bord</vt:lpstr>
      <vt:lpstr>Données ventes</vt:lpstr>
      <vt:lpstr>Données mensuelles</vt:lpstr>
      <vt:lpstr>Objectifs</vt:lpstr>
      <vt:lpstr>Listes</vt:lpstr>
      <vt:lpstr>Calculs</vt:lpstr>
      <vt:lpstr>Notice</vt:lpstr>
      <vt:lpstr>B_CA</vt:lpstr>
      <vt:lpstr>B_Charges</vt:lpstr>
      <vt:lpstr>C_Idx</vt:lpstr>
      <vt:lpstr>C_Mois</vt:lpstr>
      <vt:lpstr>L_Clients</vt:lpstr>
      <vt:lpstr>L_Familles</vt:lpstr>
      <vt:lpstr>M_Charges</vt:lpstr>
      <vt:lpstr>M_Creances</vt:lpstr>
      <vt:lpstr>M_Mois</vt:lpstr>
      <vt:lpstr>M_Treso</vt:lpstr>
      <vt:lpstr>P_debut</vt:lpstr>
      <vt:lpstr>P_nom</vt:lpstr>
      <vt:lpstr>P_obj_dso</vt:lpstr>
      <vt:lpstr>P_seuil_treso</vt:lpstr>
      <vt:lpstr>P_taux</vt:lpstr>
      <vt:lpstr>P_tol_ca</vt:lpstr>
      <vt:lpstr>P_tol_dso</vt:lpstr>
      <vt:lpstr>P_tol_marge</vt:lpstr>
      <vt:lpstr>P_tva</vt:lpstr>
      <vt:lpstr>V_CA</vt:lpstr>
      <vt:lpstr>V_Client</vt:lpstr>
      <vt:lpstr>V_Cout</vt:lpstr>
      <vt:lpstr>V_Date</vt:lpstr>
      <vt:lpstr>V_Famille</vt:lpstr>
      <vt:lpstr>V_Mois</vt:lpstr>
      <vt:lpstr>Bienvenue!Zone_d_impression</vt:lpstr>
      <vt:lpstr>'Tableau de bord'!Zone_d_impression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Tableau de bord de gestion PME : modèle Excel gratuit</dc:title>
  <dc:creator>KAVDAL</dc:creator>
  <cp:lastModifiedBy>KAVDAL</cp:lastModifiedBy>
  <cp:lastPrinted>2026-10-15T22:19:36Z</cp:lastPrinted>
  <dcterms:created xsi:type="dcterms:W3CDTF">2026-10-15T12:00:00Z</dcterms:created>
  <dcterms:modified xsi:type="dcterms:W3CDTF">2026-10-15T22:19:36Z</dcterms:modified>
</cp:coreProperties>
</file>